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500"/>
  </bookViews>
  <sheets>
    <sheet name="Лист1" sheetId="1" r:id="rId1"/>
    <sheet name="Лист2" sheetId="6" r:id="rId2"/>
  </sheets>
  <definedNames>
    <definedName name="_xlnm._FilterDatabase" localSheetId="0" hidden="1">Лист1!$A$1:$F$258</definedName>
    <definedName name="_xlnm._FilterDatabase" localSheetId="1" hidden="1">Лист2!$B$2:$H$179</definedName>
  </definedNames>
  <calcPr calcId="125725"/>
</workbook>
</file>

<file path=xl/calcChain.xml><?xml version="1.0" encoding="utf-8"?>
<calcChain xmlns="http://schemas.openxmlformats.org/spreadsheetml/2006/main">
  <c r="D187" i="1"/>
  <c r="D186"/>
  <c r="C37" i="6" l="1"/>
  <c r="D61" i="1" l="1"/>
  <c r="D95" l="1"/>
  <c r="D81"/>
  <c r="D96"/>
  <c r="D77"/>
  <c r="D20"/>
  <c r="D48"/>
  <c r="D63"/>
  <c r="D80"/>
  <c r="D79"/>
  <c r="D75"/>
  <c r="D168"/>
  <c r="D189"/>
  <c r="D232"/>
  <c r="D114"/>
  <c r="D193"/>
  <c r="D130"/>
  <c r="D112"/>
  <c r="D240"/>
  <c r="D206"/>
  <c r="D227"/>
  <c r="D160"/>
  <c r="D215"/>
  <c r="D211"/>
  <c r="D140"/>
  <c r="D233"/>
  <c r="D197"/>
  <c r="D228"/>
  <c r="F189" l="1"/>
  <c r="C124" i="6"/>
  <c r="C128" l="1"/>
  <c r="F193" i="1"/>
  <c r="C51" i="6" l="1"/>
  <c r="F112" i="1"/>
  <c r="C69" i="6"/>
  <c r="F130" i="1"/>
  <c r="C141" i="6" l="1"/>
  <c r="F206" i="1"/>
  <c r="D102" l="1"/>
  <c r="D162" l="1"/>
  <c r="D37" l="1"/>
  <c r="D5"/>
  <c r="D57"/>
  <c r="D76"/>
  <c r="D78"/>
  <c r="D58"/>
  <c r="D62"/>
  <c r="C97" l="1"/>
  <c r="C241"/>
  <c r="D192"/>
  <c r="D188"/>
  <c r="D191"/>
  <c r="D190"/>
  <c r="D157"/>
  <c r="D238"/>
  <c r="D220"/>
  <c r="D158"/>
  <c r="D222"/>
  <c r="D101"/>
  <c r="D210"/>
  <c r="D150"/>
  <c r="D136"/>
  <c r="D219"/>
  <c r="D156"/>
  <c r="D151"/>
  <c r="D203"/>
  <c r="D230"/>
  <c r="D229"/>
  <c r="D235"/>
  <c r="D127"/>
  <c r="D108"/>
  <c r="D124"/>
  <c r="D196"/>
  <c r="F233" l="1"/>
  <c r="C168" i="6"/>
  <c r="C76"/>
  <c r="F140" i="1"/>
  <c r="C3" i="6" l="1"/>
  <c r="E3"/>
  <c r="D3"/>
  <c r="I3"/>
  <c r="G3"/>
  <c r="F3"/>
  <c r="I37"/>
  <c r="D176" l="1"/>
  <c r="E176"/>
  <c r="F176"/>
  <c r="G176"/>
  <c r="H176"/>
  <c r="C176"/>
  <c r="D37"/>
  <c r="E37"/>
  <c r="F37"/>
  <c r="G37"/>
  <c r="H37"/>
  <c r="C173"/>
  <c r="C163"/>
  <c r="C162"/>
  <c r="C161"/>
  <c r="C159"/>
  <c r="C157"/>
  <c r="C156"/>
  <c r="C153"/>
  <c r="C151"/>
  <c r="C149"/>
  <c r="C147"/>
  <c r="C144"/>
  <c r="C137"/>
  <c r="C136"/>
  <c r="C135"/>
  <c r="C127"/>
  <c r="C126"/>
  <c r="C125"/>
  <c r="C123"/>
  <c r="C122"/>
  <c r="C121"/>
  <c r="C120"/>
  <c r="C119"/>
  <c r="C118"/>
  <c r="C117"/>
  <c r="C116"/>
  <c r="C114"/>
  <c r="C113"/>
  <c r="C111"/>
  <c r="C110"/>
  <c r="C109"/>
  <c r="C107"/>
  <c r="C106"/>
  <c r="C105"/>
  <c r="C104"/>
  <c r="C102"/>
  <c r="C101"/>
  <c r="C100"/>
  <c r="C99"/>
  <c r="C98"/>
  <c r="C97"/>
  <c r="C96"/>
  <c r="C94"/>
  <c r="C92"/>
  <c r="C91"/>
  <c r="C90"/>
  <c r="C89"/>
  <c r="C88"/>
  <c r="C87"/>
  <c r="C86"/>
  <c r="C85"/>
  <c r="C84"/>
  <c r="C82"/>
  <c r="C80"/>
  <c r="C79"/>
  <c r="C78"/>
  <c r="C73"/>
  <c r="C72"/>
  <c r="C71"/>
  <c r="C70"/>
  <c r="C68"/>
  <c r="C63"/>
  <c r="C60"/>
  <c r="C59"/>
  <c r="C58"/>
  <c r="C56"/>
  <c r="C54"/>
  <c r="C50"/>
  <c r="C49"/>
  <c r="C48"/>
  <c r="C47"/>
  <c r="C45"/>
  <c r="C44"/>
  <c r="C42"/>
  <c r="C40"/>
  <c r="C39"/>
  <c r="C38"/>
  <c r="G177" l="1"/>
  <c r="F177"/>
  <c r="H177"/>
  <c r="C177"/>
  <c r="E177"/>
  <c r="D177"/>
  <c r="C8"/>
  <c r="F101" i="1" l="1"/>
  <c r="F222"/>
  <c r="F238"/>
  <c r="F150" l="1"/>
  <c r="F219" l="1"/>
  <c r="D60" l="1"/>
  <c r="D56"/>
  <c r="D64"/>
  <c r="D59"/>
  <c r="D28"/>
  <c r="D204" l="1"/>
  <c r="D209"/>
  <c r="D226"/>
  <c r="D214"/>
  <c r="D223"/>
  <c r="D236"/>
  <c r="D224"/>
  <c r="D225"/>
  <c r="F228" l="1"/>
  <c r="D218" l="1"/>
  <c r="F229" l="1"/>
  <c r="F124"/>
  <c r="F108" l="1"/>
  <c r="F151" l="1"/>
  <c r="F156" l="1"/>
  <c r="D14" l="1"/>
  <c r="D21"/>
  <c r="D15"/>
  <c r="D217" l="1"/>
  <c r="D195"/>
  <c r="D123"/>
  <c r="D129"/>
  <c r="D159"/>
  <c r="D116" l="1"/>
  <c r="D212"/>
  <c r="D208"/>
  <c r="D207"/>
  <c r="D99"/>
  <c r="D103"/>
  <c r="D155"/>
  <c r="F209" l="1"/>
  <c r="F186" l="1"/>
  <c r="F187"/>
  <c r="F192"/>
  <c r="F191"/>
  <c r="F157"/>
  <c r="F190"/>
  <c r="F188"/>
  <c r="F227" l="1"/>
  <c r="F129" l="1"/>
  <c r="F224"/>
  <c r="D19" l="1"/>
  <c r="D47"/>
  <c r="D13"/>
  <c r="D17"/>
  <c r="D54"/>
  <c r="D16"/>
  <c r="D27"/>
  <c r="D18"/>
  <c r="D41"/>
  <c r="D97" l="1"/>
  <c r="D221"/>
  <c r="D128"/>
  <c r="D179"/>
  <c r="F226" l="1"/>
  <c r="F221" l="1"/>
  <c r="F103" l="1"/>
  <c r="D216" l="1"/>
  <c r="D202"/>
  <c r="D201"/>
  <c r="D200"/>
  <c r="D199"/>
  <c r="D198"/>
  <c r="D194"/>
  <c r="D185"/>
  <c r="D184"/>
  <c r="D183"/>
  <c r="D182"/>
  <c r="D181"/>
  <c r="D180"/>
  <c r="D178"/>
  <c r="D177"/>
  <c r="D176"/>
  <c r="D175"/>
  <c r="D174"/>
  <c r="D172"/>
  <c r="D171"/>
  <c r="D169"/>
  <c r="D167"/>
  <c r="D166"/>
  <c r="D165"/>
  <c r="D161"/>
  <c r="D154"/>
  <c r="D153"/>
  <c r="D152"/>
  <c r="D149"/>
  <c r="D148"/>
  <c r="D147"/>
  <c r="D145"/>
  <c r="D144"/>
  <c r="D143"/>
  <c r="D142"/>
  <c r="D141"/>
  <c r="D137"/>
  <c r="D135"/>
  <c r="D134"/>
  <c r="D133"/>
  <c r="D131"/>
  <c r="D126"/>
  <c r="D125"/>
  <c r="D122"/>
  <c r="D121"/>
  <c r="D120"/>
  <c r="D119"/>
  <c r="D118"/>
  <c r="D117"/>
  <c r="D115"/>
  <c r="D113"/>
  <c r="D111"/>
  <c r="D110"/>
  <c r="D109"/>
  <c r="D107"/>
  <c r="D106"/>
  <c r="D105"/>
  <c r="D104"/>
  <c r="D100"/>
  <c r="D245" l="1"/>
  <c r="C245"/>
  <c r="C246" s="1"/>
  <c r="F218"/>
  <c r="G64" l="1"/>
  <c r="G62"/>
  <c r="G61"/>
  <c r="G60"/>
  <c r="G59"/>
  <c r="G21"/>
  <c r="G20"/>
  <c r="G14"/>
  <c r="G5"/>
  <c r="G245"/>
  <c r="G97" l="1"/>
  <c r="F212" l="1"/>
  <c r="G145"/>
  <c r="G147"/>
  <c r="G143"/>
  <c r="G148"/>
  <c r="G149"/>
  <c r="G135"/>
  <c r="G144"/>
  <c r="G133"/>
  <c r="G137"/>
  <c r="G134"/>
  <c r="G153"/>
  <c r="G152"/>
  <c r="G198"/>
  <c r="G107"/>
  <c r="G161"/>
  <c r="G154"/>
  <c r="G162"/>
  <c r="G155"/>
  <c r="G119"/>
  <c r="G118"/>
  <c r="G117"/>
  <c r="G115"/>
  <c r="G194"/>
  <c r="G165"/>
  <c r="G178"/>
  <c r="G216"/>
  <c r="G202"/>
  <c r="G201"/>
  <c r="G200"/>
  <c r="G199"/>
  <c r="G185"/>
  <c r="G184"/>
  <c r="G183"/>
  <c r="G182"/>
  <c r="G181"/>
  <c r="G180"/>
  <c r="G177"/>
  <c r="G176"/>
  <c r="G175"/>
  <c r="G174"/>
  <c r="G172"/>
  <c r="G171"/>
  <c r="D170"/>
  <c r="G170" s="1"/>
  <c r="G169"/>
  <c r="G167"/>
  <c r="G166"/>
  <c r="D164"/>
  <c r="D163"/>
  <c r="G151"/>
  <c r="G150"/>
  <c r="G142"/>
  <c r="G141"/>
  <c r="G131"/>
  <c r="G126"/>
  <c r="G125"/>
  <c r="G122"/>
  <c r="G121"/>
  <c r="G120"/>
  <c r="G113"/>
  <c r="G111"/>
  <c r="G110"/>
  <c r="G109"/>
  <c r="G106"/>
  <c r="G105"/>
  <c r="G104"/>
  <c r="G100"/>
  <c r="D241" l="1"/>
  <c r="G101"/>
  <c r="D246" l="1"/>
  <c r="F214"/>
  <c r="F165" l="1"/>
  <c r="F164"/>
  <c r="F163"/>
  <c r="F161" l="1"/>
  <c r="F153" l="1"/>
  <c r="F152"/>
  <c r="F149"/>
  <c r="F154"/>
  <c r="F147"/>
  <c r="F159"/>
  <c r="F119"/>
  <c r="F155"/>
  <c r="F133"/>
  <c r="F134"/>
  <c r="F117"/>
  <c r="F144"/>
  <c r="F143"/>
  <c r="F115"/>
  <c r="F135"/>
  <c r="F162" l="1"/>
  <c r="F99" l="1"/>
  <c r="F179" l="1"/>
  <c r="F106" l="1"/>
  <c r="F185"/>
  <c r="F175"/>
  <c r="F183"/>
  <c r="F166"/>
  <c r="F176"/>
  <c r="F169"/>
  <c r="F111" l="1"/>
  <c r="F109"/>
  <c r="F142"/>
  <c r="F100"/>
  <c r="F110"/>
  <c r="F216"/>
  <c r="F178" l="1"/>
  <c r="F105"/>
  <c r="F121"/>
  <c r="F120"/>
  <c r="F167"/>
  <c r="F182"/>
  <c r="F181"/>
  <c r="F172"/>
  <c r="F170"/>
  <c r="F131"/>
  <c r="F174"/>
  <c r="F171"/>
  <c r="F202"/>
  <c r="F201"/>
  <c r="F200"/>
  <c r="F184"/>
</calcChain>
</file>

<file path=xl/sharedStrings.xml><?xml version="1.0" encoding="utf-8"?>
<sst xmlns="http://schemas.openxmlformats.org/spreadsheetml/2006/main" count="1095" uniqueCount="606">
  <si>
    <t>№ з/п</t>
  </si>
  <si>
    <t>Заходи</t>
  </si>
  <si>
    <t xml:space="preserve">Розділ 1. Будівництво, реконструкція , капітальний ремонт  вулиць та доріг комунальної власності населених пунктів Обухівської міської територіальної громади </t>
  </si>
  <si>
    <t>1.1</t>
  </si>
  <si>
    <t xml:space="preserve">Капітальний ремонт пішохідних зон та проїздів по вул. Київська в м.Обухів Київської області </t>
  </si>
  <si>
    <t xml:space="preserve">Розділ 2. Поточний ремонт вулиць та доріг комунальної власності населених пунктів Обухівської міської територіальної громади </t>
  </si>
  <si>
    <t>2.1</t>
  </si>
  <si>
    <t>Поточний ремонт дороги по вул. Київська в м.Обухів Київської області</t>
  </si>
  <si>
    <t>2.2</t>
  </si>
  <si>
    <t>2.3</t>
  </si>
  <si>
    <t>2.4</t>
  </si>
  <si>
    <t>2.5</t>
  </si>
  <si>
    <t>2.6</t>
  </si>
  <si>
    <t>Поточний ремонт дороги по вул  8-Листопадав м.Обухів Київської області</t>
  </si>
  <si>
    <t>2.7</t>
  </si>
  <si>
    <t>Поточний ремонт дороги по вул Козацький шлях в м.Обухів Київської області</t>
  </si>
  <si>
    <t>2.8</t>
  </si>
  <si>
    <t>Поточний ремонт дороги по вул. Трипільська в м.Обухів Київської області</t>
  </si>
  <si>
    <t>2.9</t>
  </si>
  <si>
    <t>2.10</t>
  </si>
  <si>
    <t>2.11</t>
  </si>
  <si>
    <t>Поточний ремонт дороги житлового масиву  Дзюбівкав м.Обухів Київської області</t>
  </si>
  <si>
    <t>2.12</t>
  </si>
  <si>
    <t>Поточний ремонт дороги житлового масиву  Лукавиця в м.Обухів Київської області</t>
  </si>
  <si>
    <t>2.13</t>
  </si>
  <si>
    <t>Поточний ремонт дороги по вул.8-го Березня в м.Обухів Київської області</t>
  </si>
  <si>
    <t>2.14</t>
  </si>
  <si>
    <t>2.15</t>
  </si>
  <si>
    <t>Поточний ремонт дороги по вул. Чаплінського в м.Обухів Київської області</t>
  </si>
  <si>
    <t>2.16</t>
  </si>
  <si>
    <t>2.17</t>
  </si>
  <si>
    <t>Поточний ремонт дороги по вул. Робоча в м.Обухів Київської області</t>
  </si>
  <si>
    <t>2.18</t>
  </si>
  <si>
    <t>Поточний ремонт дороги по вул. Першотравнева в м.Обухів Київської області</t>
  </si>
  <si>
    <t>2.19</t>
  </si>
  <si>
    <t>Поточний ремонт дороги по вул. Піщана в м.Обухів Київської області</t>
  </si>
  <si>
    <t>2.20</t>
  </si>
  <si>
    <t>Поточний ремонт дороги по вул. І.Франка в м.Обухів Київської області</t>
  </si>
  <si>
    <t>2.21</t>
  </si>
  <si>
    <t>Поточний ремонт дороги по вул. Гайдамацька в м.Обухів Київської області</t>
  </si>
  <si>
    <t>2.22</t>
  </si>
  <si>
    <t>Поточний ремонт дороги по вул. Васильківська в м.Обухів Київської області</t>
  </si>
  <si>
    <t>2.23</t>
  </si>
  <si>
    <t>Поточний ремонт дороги по вул. Соборна в м.Обухів Київської області</t>
  </si>
  <si>
    <t>2.24</t>
  </si>
  <si>
    <t>Поточний ремонт дороги житлового масиву  Вікторія в м.Обухів Київської області</t>
  </si>
  <si>
    <t>2.25</t>
  </si>
  <si>
    <t>Поточний ремонт автодороги Нещерів- Польок (від перехрестя на с. Нещерів до перехрестя на жил. Масив Дзюбівка) – від земель ПАТ Обухівське  в м. Обухів Київської області</t>
  </si>
  <si>
    <t>2.26</t>
  </si>
  <si>
    <t>Поточний ремонт дороги по вул. Б. Хмельницького в м.Обухів Київської області</t>
  </si>
  <si>
    <t>2.27</t>
  </si>
  <si>
    <t>Поточний ремонт дороги житлового масиву  Підгірний в м.Обухів Київської області</t>
  </si>
  <si>
    <t>2.28</t>
  </si>
  <si>
    <t xml:space="preserve"> Поточний ремонт дороги житлового масиву  Сонячний в м.Обухів Київської області</t>
  </si>
  <si>
    <t>2.29</t>
  </si>
  <si>
    <t>Поточний ремонт дороги Промкомплекс –Центральна садиба( від Т-перехрестя Комплекс-с.1 Травня до першого перехрестя перед житл. будинками м-н Яблуневий)</t>
  </si>
  <si>
    <t>2.30</t>
  </si>
  <si>
    <t>Поточний ремонт дороги по вул. Зелений Гай в м. Обухів Київської області</t>
  </si>
  <si>
    <t>2.31</t>
  </si>
  <si>
    <t>Поточний ремонт дороги по вул. Волошкова  в м.Обухів Київської області</t>
  </si>
  <si>
    <t>2.32</t>
  </si>
  <si>
    <t>2.33</t>
  </si>
  <si>
    <t>Поточний ремонт дороги по вул. Садова в м.Обухів Київської області</t>
  </si>
  <si>
    <t>2.34</t>
  </si>
  <si>
    <t>Поточний ремонт дороги по вул. Шкільна в м.Обухів Київської області</t>
  </si>
  <si>
    <t>2.35</t>
  </si>
  <si>
    <t>2.36</t>
  </si>
  <si>
    <t>2.37</t>
  </si>
  <si>
    <t>2.38</t>
  </si>
  <si>
    <t>2.39</t>
  </si>
  <si>
    <t>Поточний ремонт дороги  житлового масиву Полянський, 1 в м.Обухів Київської області</t>
  </si>
  <si>
    <t>2.40</t>
  </si>
  <si>
    <t>2.41</t>
  </si>
  <si>
    <t>Поточний ремонт пішохідної зони по вул.Шкільна в м.Обухів Київської області</t>
  </si>
  <si>
    <t>2.42</t>
  </si>
  <si>
    <t>Поточний ремонт дороги по вул.Промислова в м.Обухів Київської області</t>
  </si>
  <si>
    <t>2.43</t>
  </si>
  <si>
    <t>Поточний ремонт дороги  по провулку Пасічний в м.Обухів Київської області</t>
  </si>
  <si>
    <t>2.44</t>
  </si>
  <si>
    <t>Поточний ремонт дороги по вул.Осипенко в  м.Обухів Київської області</t>
  </si>
  <si>
    <t>2.45</t>
  </si>
  <si>
    <t>Поточний ремонт дороги по вул.Польок в м.Обухів Київської області</t>
  </si>
  <si>
    <t>2.46</t>
  </si>
  <si>
    <t>2.47</t>
  </si>
  <si>
    <t>2.48</t>
  </si>
  <si>
    <t>2.49</t>
  </si>
  <si>
    <t>2.50</t>
  </si>
  <si>
    <t>2.51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</si>
  <si>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</si>
  <si>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</si>
  <si>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</si>
  <si>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</si>
  <si>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</si>
  <si>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</si>
  <si>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</si>
  <si>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</si>
  <si>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</si>
  <si>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</si>
  <si>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</si>
  <si>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</si>
  <si>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</si>
  <si>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</si>
  <si>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</si>
  <si>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</si>
  <si>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</si>
  <si>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</si>
  <si>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</si>
  <si>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</si>
  <si>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</si>
  <si>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</si>
  <si>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</si>
  <si>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</si>
  <si>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</si>
  <si>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</si>
  <si>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</si>
  <si>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</si>
  <si>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</si>
  <si>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</si>
  <si>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</si>
  <si>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</si>
  <si>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</si>
  <si>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Поточний ремонт дороги вул. Трьохджерельна   с. Нещерів Обухівського району Київської області</t>
  </si>
  <si>
    <t>Поточний ремонт дороги вул. Васильківська   с. Нещерів Обухівського району Київської області</t>
  </si>
  <si>
    <t>Поточний ремонт дороги по вул.Садова  с.Нещерів Обухівського району Київської області</t>
  </si>
  <si>
    <t>Поточний ремонт дороги по вул.Гагаріна с.Нещерів  Обухівського району Київської області</t>
  </si>
  <si>
    <t>Поточний ремонт дороги по вул.Молодіжна с.Нещерів Обухівського району Київської області</t>
  </si>
  <si>
    <t>Поточний ремонт дороги по вул.Горького с.Нещерів Обухівського району Київської області</t>
  </si>
  <si>
    <t>Поточний ремонт дороги по вул.Преображеньська  с.Нещерів Обухівського району Київської області в.т. ч виготовлення КД</t>
  </si>
  <si>
    <t>Поточний ремонт дороги по вул.Малишка  с.Красне Перше Обухівського району Київської області в.т. ч виготовлення КД</t>
  </si>
  <si>
    <t>Поточний ремонт дороги по вул.Лесі Українки  с.Красне Перше Обухівського району Київської області в.т. ч виготовлення КД</t>
  </si>
  <si>
    <t>Поточний ремонт дороги по вул.Новоселиця  с.Красне Перше Обухівського району Київської області в.т. ч виготовлення КД</t>
  </si>
  <si>
    <t>Поточний ремонт дороги по вул.Шевченка с.Долина Обухівського району Київської області в.т. ч виготовлення КД</t>
  </si>
  <si>
    <t>Поточний ремонт дороги по вул.Миру с.Долина Обухівського району Київської області в.т. ч виготовлення КД</t>
  </si>
  <si>
    <t>Поточний ремонт дороги по вул.Шевченка с.Макарівка Обухівського району Київської області в.т. ч виготовлення КД</t>
  </si>
  <si>
    <t>Поточний ремонт дороги по вул.Рильського в с.Перше Травня Обухівського району Київської області</t>
  </si>
  <si>
    <t>Поточний ремонт дороги по вул.Горбахи  в с.Степок Обухівського району Київської області в.т. ч виготовлення КД</t>
  </si>
  <si>
    <t>Поточний ремонт дороги по вул.Яблунева  в с.Степок Обухівського району Київської області в.т. ч виготовлення КД</t>
  </si>
  <si>
    <t>Поточний ремонт дороги по вул.Миру в с.Копачів Обухівського району Київської області</t>
  </si>
  <si>
    <t>Поточний ремонт дороги по вул.Квітуча в с.Копачів Обухівського району Київської області</t>
  </si>
  <si>
    <t>Поточний ремонт дороги по вул.Кленова в с.Копачів Обухівського району Київської області</t>
  </si>
  <si>
    <t>Поточний ремонт дороги по вул.Зарічна в с.Застугна Обухівського району Київської області</t>
  </si>
  <si>
    <t>Поточний ремонт дороги по вул.Виговського  в с.Германівка Обухівського району Київської області в.т. ч виготовлення КД</t>
  </si>
  <si>
    <t xml:space="preserve"> Поточний ремонт дороги по вул.Уварова  в с.Германівка Обухівського району Київської області в.т. ч виготовлення КД</t>
  </si>
  <si>
    <t>Поточний ремонт дороги по вул.Леоніда  Коваленка в с.Германівка Обухівського району Київської області в.т. ч виготовлення КД</t>
  </si>
  <si>
    <t>Поточний ремонт дороги по вул.Івана Войтенко  в с.Германівка Обухівського району Київської області в т.ч. виготовлення КД</t>
  </si>
  <si>
    <t>Поточний ремонт дороги по вул.Шевченко  в с.Германівка Обухівського району Київської області</t>
  </si>
  <si>
    <t>Поточний ремонт дороги по вул.Незалежності в с.Красна Слобідка Обухівського району Київської області</t>
  </si>
  <si>
    <t>Поточний ремонт дороги по вул.Комсомольська  в с.Деремезна Обухівського району Київської області в.т. виготовлення КД</t>
  </si>
  <si>
    <t>Поточний ремонт дороги по вул.Перемоги  в с.Деремезна Обухівського району Київської області в.т. виготовлення КД</t>
  </si>
  <si>
    <t>Поточний ремонт дороги по вул. Колгоспна  в с.Григорівка Обухівського району Київської області</t>
  </si>
  <si>
    <t>Поточний ремонт дороги по вул.Б.Хмельницького   в с.Семенівка Обухівського району Київської області в.т. виготовлення КД</t>
  </si>
  <si>
    <t>Поточний ремонт дороги по вул.Шевченка  в с.Семенівка Обухівського району Київської області в.т. ч виготовлення КД</t>
  </si>
  <si>
    <t>Поточний ремонт дороги по вул.Гагаріна  в с.Семенівка Обухівського району Київської області в.т. ч виготовлення КД</t>
  </si>
  <si>
    <t>Поточний ремонт дороги по вул.Сагайдачного  в с.Семенівка Обухівського району Київської області в.т. ч виготовлення КД</t>
  </si>
  <si>
    <t>Поточний ремонт дороги по вул.Вишнева  в с.Кулі Обухівського району Київської області</t>
  </si>
  <si>
    <t>Поточний ремонт дороги по вул.Воїнів в с.Перегонівка Обухівського району Київської області</t>
  </si>
  <si>
    <t>Поточний ремонт дороги по вул.Зарічна в с.Перегонівка Обухівського району Київської області</t>
  </si>
  <si>
    <t>Поточний ремонт дороги по вул.Лісова в с.Перегонівка Обухівського району Київської області в.т. ч виготовлення КД</t>
  </si>
  <si>
    <t>Поточний ремонт дороги  вул.Сонячна  с. Ленди, м.Обухів Київської області</t>
  </si>
  <si>
    <t>Поточний ремонт доріг с. Таценки, м.Обухів Київської області</t>
  </si>
  <si>
    <t>Поточний ремонт дороги по вул.Шкільна  в с.Семенівка  Обухівського району Київської області в.т. ч виготовлення КД</t>
  </si>
  <si>
    <t>Поточний ремонт дороги по вул.Гержана в с.Перегонівка  Обухівського району Київської області в.т. ч виготовлення КД</t>
  </si>
  <si>
    <t>Поточний ремонт дороги вул. Івушка   с. Нещерів Обухівського району Київської області</t>
  </si>
  <si>
    <t>Поточний ремонт дороги вул. Преображенська  с. Нещерів Обухівського району Київської області</t>
  </si>
  <si>
    <t>1.2</t>
  </si>
  <si>
    <t>1.3</t>
  </si>
  <si>
    <t>1.4</t>
  </si>
  <si>
    <t>1.5</t>
  </si>
  <si>
    <t>1.6</t>
  </si>
  <si>
    <t>1.7</t>
  </si>
  <si>
    <t>1.8</t>
  </si>
  <si>
    <t>1.9</t>
  </si>
  <si>
    <t>Капітальний ремонт внутрішньо дворового проїзду  та пішохідних зон в районі житлових будинків №2,№10,№11 мікрорайону Яблуневий в м. Обухів Київської області</t>
  </si>
  <si>
    <t>Поточний ремонт пішохідної зони по вул.П.Гудима с.Перше травня Обухівського району Київської області</t>
  </si>
  <si>
    <t xml:space="preserve">Поточний ремонт дороги ж/м Стожари в м.Обухів Київської області </t>
  </si>
  <si>
    <t xml:space="preserve">Поточний ремонт пішохідних зон житлового будинку № 162 Б по вул.Київська в м.Обухів Київської області </t>
  </si>
  <si>
    <t xml:space="preserve">Поточний ремонт пішохідних зон житлового будинку № 11 по вул.Миру  в м.Обухів Київської області </t>
  </si>
  <si>
    <t>1.10</t>
  </si>
  <si>
    <t>1.11</t>
  </si>
  <si>
    <t>1.12</t>
  </si>
  <si>
    <t>1.13</t>
  </si>
  <si>
    <t>1.14</t>
  </si>
  <si>
    <t>1.15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</si>
  <si>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</si>
  <si>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</si>
  <si>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</si>
  <si>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</si>
  <si>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</si>
  <si>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</si>
  <si>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</si>
  <si>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</si>
  <si>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</si>
  <si>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</si>
  <si>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</si>
  <si>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</si>
  <si>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</si>
  <si>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</si>
  <si>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</si>
  <si>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</si>
  <si>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Капітальний ремонт дороги в районі житлового будинку №52 по вул.Малишка  в м. Обухів Київської області</t>
  </si>
  <si>
    <t>1.33</t>
  </si>
  <si>
    <t>1.34</t>
  </si>
  <si>
    <t>Капітальний ремонт дороги по вул.Джамбула (№15-№65), (№63-№37а) в м.Обухів Київської області</t>
  </si>
  <si>
    <t>1.35</t>
  </si>
  <si>
    <t>1.36</t>
  </si>
  <si>
    <t>1.37</t>
  </si>
  <si>
    <t>1.38</t>
  </si>
  <si>
    <t xml:space="preserve">Поточний ремонт пішохідних зон житлового будинку № 115 по вул.Київська в м.Обухів Київської області </t>
  </si>
  <si>
    <t>1.39</t>
  </si>
  <si>
    <t xml:space="preserve">Поточний ремонт пішохідних зон житлового будинку № 7 по вул.Миру  в м.Обухів Київської області </t>
  </si>
  <si>
    <t>1.40</t>
  </si>
  <si>
    <t>1.41</t>
  </si>
  <si>
    <t>1.42</t>
  </si>
  <si>
    <t>1.43</t>
  </si>
  <si>
    <t>1.44</t>
  </si>
  <si>
    <t xml:space="preserve">Поточний ремонт пішохідних зон в районі  житлового будинку № 168 по вул.Київська в м.Обухів Київської області </t>
  </si>
  <si>
    <t>Капітальний ремонт дороги в районі житлових будинків №2-№8 по вул.Лугова в м. Обухів Київської області</t>
  </si>
  <si>
    <t>1.45</t>
  </si>
  <si>
    <t>1.46</t>
  </si>
  <si>
    <t>1.47</t>
  </si>
  <si>
    <t>1.48</t>
  </si>
  <si>
    <t>1.49</t>
  </si>
  <si>
    <t xml:space="preserve">Поточний ремонт дороги пров.Заводський  в м.Обухів Київської області </t>
  </si>
  <si>
    <t>1.50</t>
  </si>
  <si>
    <t xml:space="preserve">Поточний ремонт дороги по вул.Жеваги в м.Обухів Київської області </t>
  </si>
  <si>
    <t xml:space="preserve">Поточний ремонт дороги по вул.Гоголя   в м.Обухів Київської області </t>
  </si>
  <si>
    <t xml:space="preserve">Поточний ремонт дороги по вул.Козацька  в м.Обухів Київської області </t>
  </si>
  <si>
    <t xml:space="preserve">Поточний ремонт дороги по вул.П.Мирного в м.Обухів Київської області  </t>
  </si>
  <si>
    <t>Разом по роздіу 1</t>
  </si>
  <si>
    <t>1.16</t>
  </si>
  <si>
    <t>Капітальний ремонт внутрішньо дворового проїзду  та пішохідних зон житлового будинку №172 по вул. Київська в м. Обухів Київської області</t>
  </si>
  <si>
    <t xml:space="preserve">Всього по програмі </t>
  </si>
  <si>
    <t xml:space="preserve">Разом по  розділу 2 </t>
  </si>
  <si>
    <t xml:space="preserve">Поточний ремонт дороги мкрн. Сосновий в м.Обухів Київської області </t>
  </si>
  <si>
    <t>КД</t>
  </si>
  <si>
    <t>ПКД</t>
  </si>
  <si>
    <t>1990 м2</t>
  </si>
  <si>
    <t>1631 м2</t>
  </si>
  <si>
    <t>1558 м2</t>
  </si>
  <si>
    <t>917 м2</t>
  </si>
  <si>
    <t>906 м2</t>
  </si>
  <si>
    <t>458 м2</t>
  </si>
  <si>
    <t>590 м2</t>
  </si>
  <si>
    <t>862 м2</t>
  </si>
  <si>
    <t>950 м2</t>
  </si>
  <si>
    <t>1420 м2</t>
  </si>
  <si>
    <t>488 м2</t>
  </si>
  <si>
    <t>1224 м2</t>
  </si>
  <si>
    <t>1.51</t>
  </si>
  <si>
    <t>Капітальний ремонт дороги по провулку Драна гора (кладовище-№21А) в м.Обухів Київської області</t>
  </si>
  <si>
    <t>Поточний ремонт пішохідної зони  гідротехнічної споруди «Нижнього ставу» в м.Обухів Київської області</t>
  </si>
  <si>
    <t>Поточний ремонт пішохідної зони гідротехнічної споруди «Верхнього ставу» в м.Обухів Київської області</t>
  </si>
  <si>
    <t>Поточний ремонт дороги по вул.Буканова в м.Обухів Київської області</t>
  </si>
  <si>
    <t>Поточний ремонт пішохідної зони житлового будинку по вул.Київська, 7 в  м.Обухів Київської області</t>
  </si>
  <si>
    <t>Капітальний ремонт внутрішньодворового проїзду та пішохідних зон житлових будинків №101-103 по вул. Київська в м. Обухів Київської області</t>
  </si>
  <si>
    <t>1.52</t>
  </si>
  <si>
    <t>Капітальний ремонт пішохідної зони прибудинкової території житлового будинку по вул.Миру 9 в м. Обухів Київської області</t>
  </si>
  <si>
    <t>Капітальний ремонт внутрішньо дворового проїзду  та пішохідних зон житлового будинку №51 по вул. Трипільська в м. Обухів Київської області</t>
  </si>
  <si>
    <t xml:space="preserve">Капітальний ремонт пішохідних зон парку Дубки по вул.Каштанова в м.Обухів Київської області 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</si>
  <si>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</si>
  <si>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</si>
  <si>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</si>
  <si>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</si>
  <si>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</si>
  <si>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</si>
  <si>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</si>
  <si>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</si>
  <si>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</si>
  <si>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360 м2</t>
  </si>
  <si>
    <t>480 м2</t>
  </si>
  <si>
    <t>290м2</t>
  </si>
  <si>
    <t>1126 м2</t>
  </si>
  <si>
    <t>752 м2</t>
  </si>
  <si>
    <t>340 м2</t>
  </si>
  <si>
    <t>866 м2</t>
  </si>
  <si>
    <t>1200 м2</t>
  </si>
  <si>
    <t>76 м2</t>
  </si>
  <si>
    <t>682 м2</t>
  </si>
  <si>
    <t>1950 м2</t>
  </si>
  <si>
    <t>900 м2</t>
  </si>
  <si>
    <t xml:space="preserve">Капітальний ремонт дороги по вул.Миру  в с.Козіївка Обухівського району Київської області в т.ч виготовлення КД та експертиза </t>
  </si>
  <si>
    <t>2.52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</si>
  <si>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</si>
  <si>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</si>
  <si>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</si>
  <si>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</si>
  <si>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</si>
  <si>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</si>
  <si>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</si>
  <si>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</si>
  <si>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</si>
  <si>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</si>
  <si>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</si>
  <si>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</si>
  <si>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</si>
  <si>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</si>
  <si>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Поточний ремонт дороги по вул.Косинка с.Красне Перше Обухівського району Київської області в.т. ч виготовлення КД</t>
  </si>
  <si>
    <t>Поточний ремонт дороги по вул.48 Стрілкового Полка с.Долина Обухівського району Київської області в.т. ч виготовлення КД</t>
  </si>
  <si>
    <t>Поточний ремонт дороги по вул.Сонячна, вул.Хуторна в с.Дерев҆яна Обухівського району Київської області в.т. ч виготовлення КД</t>
  </si>
  <si>
    <t>Поточний ремонт дороги по вул.Корольова  в с.Степок Обухівського району Київської області в.т. ч виготовлення КД</t>
  </si>
  <si>
    <t>Поточний ремонт дороги по вул.Братів Пенькових  в с.Деремезна Обухівського району Київської області в.т. виготовлення КД</t>
  </si>
  <si>
    <t>2.86</t>
  </si>
  <si>
    <t>2.87</t>
  </si>
  <si>
    <t>2.102</t>
  </si>
  <si>
    <t>2.103</t>
  </si>
  <si>
    <t>2.104</t>
  </si>
  <si>
    <t>2.105</t>
  </si>
  <si>
    <t>2.106</t>
  </si>
  <si>
    <t>2.107</t>
  </si>
  <si>
    <t>2.108</t>
  </si>
  <si>
    <t>1.111</t>
  </si>
  <si>
    <t>1.112</t>
  </si>
  <si>
    <t>1.113</t>
  </si>
  <si>
    <t>1.110</t>
  </si>
  <si>
    <t>Поточний ремонт дороги по вул.Миру в в с.Мала Вільшанка Обухівського району Київської області</t>
  </si>
  <si>
    <t>Капітальний ремонт внутрішньодворового проїзду та пішохідних зон  жб №26 по вул.Каштанова в м.Обухів Київської області</t>
  </si>
  <si>
    <t>Капітальний ремонт внутрішньодворового проїзду та пішохідних зон жб №28 по вул.Каштановав м.Обухів Київської області</t>
  </si>
  <si>
    <t>Капітальний ремонт внутрішньодворового проїзду та пішохідних зон жб №32 по вул.Каштановав м.Обухів Київської області</t>
  </si>
  <si>
    <t>Капітальний ремонт внутрішньодворового проїзду та пішохідних зон жб №34 по вул.Каштановав м.Обухів Київської області</t>
  </si>
  <si>
    <t>Капітальний ремонт внутрішньодворового проїзду та пішохідних зон жб №36 по вул.Каштановав м.Обухів Київської області</t>
  </si>
  <si>
    <t>Капітальний ремонт внутрішньодворового проїзду та пішохідних зон жб №38 по вул.Каштановав м.Обухів Київської області</t>
  </si>
  <si>
    <t>Капітальний ремонт внутрішньодворового проїзду та пішохідних зон жб №22 по вул.Каштановав м.Обухів Київської області</t>
  </si>
  <si>
    <t>Капітальний ремонт внутрішньодворового проїзду та пішохідних зон жб №24 по вул.Каштановав м.Обухів Київської області</t>
  </si>
  <si>
    <t>Капітальний ремонт внутрішньодворового проїзду та пішохідних зон жб №40 по вул.Каштановав м.Обухів Київської області</t>
  </si>
  <si>
    <t>Капітальний ремонт внутрішньодворового проїзду  та пішохідних зон житлового будинку №49 по вул. Трипільська в м. Обухів Київської області</t>
  </si>
  <si>
    <t>Капітальний ремонт внутрішньодворового проїзду  та пішохідних зон житлового будинку №47-а по вул. Трипільська в м. Обухів Київської області</t>
  </si>
  <si>
    <t>Капітальний ремонт внутрішньодворового проїзду  та пішохідних зон житлового будинку№47 по вул. Трипільська в м. Обухів Київської області</t>
  </si>
  <si>
    <t xml:space="preserve">Капітальний ремонт дороги по вул.Лесі Українки в с.Красне Перше Обухівського району Київської області в т.ч.виготовлення КД та експертиза </t>
  </si>
  <si>
    <t>Поточний ремонт дороги по вул.Шевченка  в м.Обухів Київської області</t>
  </si>
  <si>
    <t>Поточний ремонт прибудинкової території житлового будинку 156 по вул.Київська в м.Обухів Київської області</t>
  </si>
  <si>
    <t>Поточний ремонт дороги та пішохідних зон в с.Красна Слобідка (с.Безименне) Обухівського району Київської області</t>
  </si>
  <si>
    <t>Поточний ремонт дороги по вул.Садова в с.Мала Вільшанка Обухівського району Київської області</t>
  </si>
  <si>
    <t>Поточний ремонт дороги по вул.Калинова в м.Обухів Київської області</t>
  </si>
  <si>
    <t>2.115</t>
  </si>
  <si>
    <t>2.116</t>
  </si>
  <si>
    <t>2.117</t>
  </si>
  <si>
    <t>2.118</t>
  </si>
  <si>
    <t>2.119</t>
  </si>
  <si>
    <t>1.62</t>
  </si>
  <si>
    <t>1.63</t>
  </si>
  <si>
    <t>1.64</t>
  </si>
  <si>
    <t>1.65</t>
  </si>
  <si>
    <t>1.66</t>
  </si>
  <si>
    <t>1.67</t>
  </si>
  <si>
    <t>3.1</t>
  </si>
  <si>
    <t>1.109</t>
  </si>
  <si>
    <t>2.114</t>
  </si>
  <si>
    <t>Разом по  розділу 3</t>
  </si>
  <si>
    <t xml:space="preserve"> Встановлення лежачих поліцейських в м.Обухів Київської області</t>
  </si>
  <si>
    <t xml:space="preserve">Розділ 3 утримання та розвитку  вулиць і доріг комунальної власності населених пунктів  Обухівської міської територіальної громади </t>
  </si>
  <si>
    <t xml:space="preserve">Виготовлення ПКД "Капітальний ремонт паркової зони мкрн.Лікарня по вул.Каштанова (кадастровий номер:3223110100:01:101:0039) в м.Обухів Київської області  </t>
  </si>
  <si>
    <t>Поточний ремонт дороги  по вул.Чумацький Шлях  в м.Обухів Київської області</t>
  </si>
  <si>
    <t>2.120</t>
  </si>
  <si>
    <t>1.68</t>
  </si>
  <si>
    <t>1.69</t>
  </si>
  <si>
    <t>1.70</t>
  </si>
  <si>
    <t>Кількісний показник</t>
  </si>
  <si>
    <t>ФЕМ-4010м2,
 а/б покриття 3000м2; зелені насадження-1874 шт,.</t>
  </si>
  <si>
    <t>Договір укладено, роботи ведуться</t>
  </si>
  <si>
    <t>15 (106 секцій)</t>
  </si>
  <si>
    <t>1200м2</t>
  </si>
  <si>
    <t>Сума  бюджетних коштів, план грн.</t>
  </si>
  <si>
    <t>Сума  бюджетних коштів, виконання грн.</t>
  </si>
  <si>
    <t>Кількісний показник виконання</t>
  </si>
  <si>
    <t>Поточний ремонт дороги по вул.40-річчя Перемоги в м.Обухів Київської області</t>
  </si>
  <si>
    <t>Договір укладено</t>
  </si>
  <si>
    <t>Договір в стадії підписання</t>
  </si>
  <si>
    <t>Договір укладено, кошторис на експертизі</t>
  </si>
  <si>
    <t>Фактичне виконання фізичних об'ємів
станом на 04.08.21</t>
  </si>
  <si>
    <t>Договір укладено, роботи ведуться
2430,00</t>
  </si>
  <si>
    <t>Договір укладено, роботи ведуться
2 409,75</t>
  </si>
  <si>
    <t>Договір укладено, роботи ведуться
4 860,00</t>
  </si>
  <si>
    <t>Договір укладено, роботи ведуться
4 839,75</t>
  </si>
  <si>
    <t>Договір укладено, роботи ведуться
19 731,60</t>
  </si>
  <si>
    <t>Договір укладено, роботи ведуться
9 720,00</t>
  </si>
  <si>
    <t>Договір укладено, роботи ведуться
21 870,00</t>
  </si>
  <si>
    <r>
      <t xml:space="preserve">Поточний ремонт дороги по вул. Миру </t>
    </r>
    <r>
      <rPr>
        <sz val="11"/>
        <color rgb="FF000000"/>
        <rFont val="Times New Roman"/>
        <family val="1"/>
        <charset val="1"/>
      </rPr>
      <t>в м.Обухів Київської області</t>
    </r>
  </si>
  <si>
    <r>
      <t xml:space="preserve">Поточний ремонт дороги по мкрн. Яблуневий </t>
    </r>
    <r>
      <rPr>
        <sz val="11"/>
        <color rgb="FF000000"/>
        <rFont val="Times New Roman"/>
        <family val="1"/>
        <charset val="1"/>
      </rPr>
      <t>в м.Обухів Київської області</t>
    </r>
  </si>
  <si>
    <r>
      <t xml:space="preserve">Поточний ремонт дороги по вул. Каштанова </t>
    </r>
    <r>
      <rPr>
        <sz val="11"/>
        <color rgb="FF000000"/>
        <rFont val="Times New Roman"/>
        <family val="1"/>
        <charset val="1"/>
      </rPr>
      <t>в м.Обухів Київської області</t>
    </r>
  </si>
  <si>
    <r>
      <t xml:space="preserve">Поточний ремонт дороги по вул. Малишка </t>
    </r>
    <r>
      <rPr>
        <sz val="11"/>
        <color rgb="FF000000"/>
        <rFont val="Times New Roman"/>
        <family val="1"/>
        <charset val="1"/>
      </rPr>
      <t>в м.Обухів Київської області</t>
    </r>
  </si>
  <si>
    <r>
      <t xml:space="preserve">Поточний ремонт дороги вул. Горіхова   с. Нещерів </t>
    </r>
    <r>
      <rPr>
        <sz val="11"/>
        <color rgb="FF000000"/>
        <rFont val="Times New Roman"/>
        <family val="1"/>
        <charset val="1"/>
      </rPr>
      <t>Обухівського району Київської області</t>
    </r>
  </si>
  <si>
    <r>
      <t>Поточний ремонт дороги по вул.Шевченка  в с.Деремезна  Обухівського району Київської області</t>
    </r>
    <r>
      <rPr>
        <sz val="11"/>
        <color rgb="FF000000"/>
        <rFont val="Times New Roman"/>
        <family val="1"/>
        <charset val="1"/>
      </rPr>
      <t xml:space="preserve"> </t>
    </r>
    <r>
      <rPr>
        <sz val="11"/>
        <color rgb="FF000000"/>
        <rFont val="Times New Roman"/>
        <family val="1"/>
        <charset val="204"/>
      </rPr>
      <t>в.т. виготовлення КД</t>
    </r>
  </si>
  <si>
    <r>
      <t>Поточний ремонт дороги по вул.Гагаріна  в с.Деремезна  Обухівського району Київської області</t>
    </r>
    <r>
      <rPr>
        <sz val="11"/>
        <color rgb="FF000000"/>
        <rFont val="Times New Roman"/>
        <family val="1"/>
        <charset val="1"/>
      </rPr>
      <t xml:space="preserve"> </t>
    </r>
    <r>
      <rPr>
        <sz val="11"/>
        <color rgb="FF000000"/>
        <rFont val="Times New Roman"/>
        <family val="1"/>
        <charset val="204"/>
      </rPr>
      <t>в.т. виготовлення КД</t>
    </r>
  </si>
  <si>
    <r>
      <t>Поточний ремонт дороги по вул.Макаренка   в с.Семенівка Обухівського району Київської області</t>
    </r>
    <r>
      <rPr>
        <sz val="11"/>
        <color rgb="FF000000"/>
        <rFont val="Times New Roman"/>
        <family val="1"/>
        <charset val="1"/>
      </rPr>
      <t xml:space="preserve"> </t>
    </r>
    <r>
      <rPr>
        <sz val="11"/>
        <color rgb="FF000000"/>
        <rFont val="Times New Roman"/>
        <family val="1"/>
        <charset val="204"/>
      </rPr>
      <t>в.т. виготовлення КД</t>
    </r>
  </si>
  <si>
    <r>
      <t>Поточний ремонт дороги по вул.Гоголя   в с.Семенівка Обухівського району Київської області</t>
    </r>
    <r>
      <rPr>
        <sz val="11"/>
        <color rgb="FF000000"/>
        <rFont val="Times New Roman"/>
        <family val="1"/>
        <charset val="1"/>
      </rPr>
      <t xml:space="preserve"> </t>
    </r>
    <r>
      <rPr>
        <sz val="11"/>
        <color rgb="FF000000"/>
        <rFont val="Times New Roman"/>
        <family val="1"/>
        <charset val="204"/>
      </rPr>
      <t>в.т. виготовлення КД</t>
    </r>
  </si>
  <si>
    <r>
      <t>Поточний ремонт дороги по вул.Шевченка</t>
    </r>
    <r>
      <rPr>
        <sz val="11"/>
        <rFont val="Times New Roman"/>
        <family val="1"/>
        <charset val="204"/>
      </rPr>
      <t>, Васильківська</t>
    </r>
    <r>
      <rPr>
        <sz val="11"/>
        <color rgb="FF000000"/>
        <rFont val="Times New Roman"/>
        <family val="1"/>
        <charset val="204"/>
      </rPr>
      <t xml:space="preserve"> в с.Мала Вільшанка Обухівського району Київської області в.т. ч виготовлення КД</t>
    </r>
  </si>
  <si>
    <r>
      <t xml:space="preserve">Поточний ремонт дороги по вул.Дніпрової Чайки, </t>
    </r>
    <r>
      <rPr>
        <sz val="11"/>
        <rFont val="Times New Roman"/>
        <family val="1"/>
        <charset val="204"/>
      </rPr>
      <t>вул.Андрія Михайлюка</t>
    </r>
    <r>
      <rPr>
        <sz val="11"/>
        <color rgb="FF000000"/>
        <rFont val="Times New Roman"/>
        <family val="1"/>
        <charset val="204"/>
      </rPr>
      <t xml:space="preserve">  в с.Германівка Обухівського району Київської області в.т. ч виготовлення КД</t>
    </r>
  </si>
  <si>
    <r>
      <t>Поточний ремонт дороги п</t>
    </r>
    <r>
      <rPr>
        <sz val="11"/>
        <rFont val="Times New Roman"/>
        <family val="1"/>
        <charset val="204"/>
      </rPr>
      <t>о вул.Пушкіна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вул.Шевченка, вул.Приозерна, вул.Першотравнева, вул.Садова, вул.Корестень, вул.Набережна, вул.Стовпова в с.Красна Слобідка Обухівського району Київської області  в</t>
    </r>
    <r>
      <rPr>
        <sz val="11"/>
        <color rgb="FF000000"/>
        <rFont val="Times New Roman"/>
        <family val="1"/>
        <charset val="204"/>
      </rPr>
      <t>.т. ч виготовлення КД</t>
    </r>
  </si>
  <si>
    <r>
      <t>Поточний ремонт дороги п</t>
    </r>
    <r>
      <rPr>
        <sz val="11"/>
        <rFont val="Times New Roman"/>
        <family val="1"/>
        <charset val="204"/>
      </rPr>
      <t xml:space="preserve">о вул.Садова, </t>
    </r>
    <r>
      <rPr>
        <sz val="11"/>
        <color rgb="FF000000"/>
        <rFont val="Times New Roman"/>
        <family val="1"/>
        <charset val="204"/>
      </rPr>
      <t>вул.Польова  в с.Матяшівка Обухівського району Київської області в.т. ч виготовлення КД</t>
    </r>
  </si>
  <si>
    <r>
      <t xml:space="preserve">Поточний ремонт дороги </t>
    </r>
    <r>
      <rPr>
        <sz val="11"/>
        <rFont val="Times New Roman"/>
        <family val="1"/>
        <charset val="204"/>
      </rPr>
      <t>по вул.Добрий Шлях</t>
    </r>
    <r>
      <rPr>
        <sz val="11"/>
        <color rgb="FF000000"/>
        <rFont val="Times New Roman"/>
        <family val="1"/>
        <charset val="204"/>
      </rPr>
      <t xml:space="preserve">, вул.Миру, </t>
    </r>
    <r>
      <rPr>
        <sz val="11"/>
        <rFont val="Times New Roman"/>
        <family val="1"/>
        <charset val="204"/>
      </rPr>
      <t>вул.Слави, вул.Лермонтова  в с.</t>
    </r>
    <r>
      <rPr>
        <sz val="11"/>
        <color rgb="FF000000"/>
        <rFont val="Times New Roman"/>
        <family val="1"/>
        <charset val="204"/>
      </rPr>
      <t>Гусачівка Обухівського району Київської області в.т. ч виготовлення КД</t>
    </r>
  </si>
  <si>
    <r>
      <t>Поточний ремонт дороги по</t>
    </r>
    <r>
      <rPr>
        <sz val="11"/>
        <color rgb="FFFF0000"/>
        <rFont val="Times New Roman"/>
        <family val="1"/>
        <charset val="204"/>
      </rPr>
      <t xml:space="preserve"> вул.Гагаріна, вул.В.Коробко, вул.Соборна, вул.Садова,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вул.Молодіжна, вул.Жовтнева, вул.Сонячна</t>
    </r>
    <r>
      <rPr>
        <sz val="11"/>
        <color rgb="FF000000"/>
        <rFont val="Times New Roman"/>
        <family val="1"/>
        <charset val="204"/>
      </rPr>
      <t>,</t>
    </r>
    <r>
      <rPr>
        <sz val="11"/>
        <color rgb="FFFF0000"/>
        <rFont val="Times New Roman"/>
        <family val="1"/>
        <charset val="204"/>
      </rPr>
      <t xml:space="preserve"> вул.Кринична,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вул.Героїв Майдану,</t>
    </r>
    <r>
      <rPr>
        <sz val="11"/>
        <color rgb="FF000000"/>
        <rFont val="Times New Roman"/>
        <family val="1"/>
        <charset val="204"/>
      </rPr>
      <t xml:space="preserve"> провулок Криничний  в с.Григорівка Обухівського району Київської області в.т. виготовлення КД</t>
    </r>
  </si>
  <si>
    <t>1.71</t>
  </si>
  <si>
    <t>Капітальний ремонт дороги по вул.Миру в с.Мала Вільшанка Обухівського району Київської області</t>
  </si>
  <si>
    <t>4 655м2</t>
  </si>
  <si>
    <t>1.72</t>
  </si>
  <si>
    <t>Капітальний ремонт внутрішньодворового проїзду та пішохідних зон житлового будинку №7 мкрн.Яблуневий в м. Обухів Київської області</t>
  </si>
  <si>
    <t>189м2</t>
  </si>
  <si>
    <t>1.73</t>
  </si>
  <si>
    <t>Капітальний ремонт внутрішньодворового проїзду та пішохідних зон в районі житлових будинків №4,№5 мікрорайону Яблуневий в м. Обухів Київської області</t>
  </si>
  <si>
    <t>1468м2</t>
  </si>
  <si>
    <t>1.74</t>
  </si>
  <si>
    <t>Капітальний ремонт дороги по вул. Зелений Гай в м. Обухів Київської області</t>
  </si>
  <si>
    <t>328м2</t>
  </si>
  <si>
    <t>1.75</t>
  </si>
  <si>
    <r>
      <t xml:space="preserve">Капітальний ремонт пішохідної зони по вул.Чумацький Шлях (в районі автостанції ) в м.Обухів </t>
    </r>
    <r>
      <rPr>
        <sz val="12"/>
        <color rgb="FF000000"/>
        <rFont val="Times New Roman"/>
        <family val="1"/>
        <charset val="204"/>
      </rPr>
      <t>Київської області</t>
    </r>
    <r>
      <rPr>
        <sz val="11"/>
        <color rgb="FF000000"/>
        <rFont val="Times New Roman"/>
        <family val="1"/>
        <charset val="204"/>
      </rPr>
      <t xml:space="preserve"> в т.ч. виготовлення та експертиза</t>
    </r>
  </si>
  <si>
    <t>95м2</t>
  </si>
  <si>
    <t>1.76</t>
  </si>
  <si>
    <t>Капітальний ремонт дороги  ж/м Вікторія    в м.Обухів Київської області</t>
  </si>
  <si>
    <t>1100м2</t>
  </si>
  <si>
    <t>1.77</t>
  </si>
  <si>
    <t xml:space="preserve">Капітальний ремонт тротуару   по вул.Каштанова (від будівлі №20 до будівлі №16) в м.Обухів Київської області </t>
  </si>
  <si>
    <t>2600м2</t>
  </si>
  <si>
    <t>2.122</t>
  </si>
  <si>
    <t>Поточний ремонт прибудинкової території житлового будинку №9 по вул.Миру в м.Обухів Київської області</t>
  </si>
  <si>
    <t>2.123</t>
  </si>
  <si>
    <t>Поточний ремонт прибудинкової території житлового будинку №16 по вул.Миру в м.Обухів Київської області</t>
  </si>
  <si>
    <t>2.125</t>
  </si>
  <si>
    <t>Поточний ремонт дороги по вул.40-річчя Перемоги  в м.Обухів Київської області</t>
  </si>
  <si>
    <t>2.126</t>
  </si>
  <si>
    <t>Поточний ремонт дороги по мкрн.Яблуневий  в м.Обухів Київської області</t>
  </si>
  <si>
    <t>2.127</t>
  </si>
  <si>
    <t>Поточний ремонт дороги по вул.Осипенко в м.Обухів Київської області</t>
  </si>
  <si>
    <t>2.128</t>
  </si>
  <si>
    <t>Поточний ремонт дороги по вул.Васильківська в м.Обухів Київської області</t>
  </si>
  <si>
    <t>2.129</t>
  </si>
  <si>
    <t>Поточний ремонт дороги по вул.8-го Листопада  в м.Обухів Київської області</t>
  </si>
  <si>
    <t>2.130</t>
  </si>
  <si>
    <t>Поточний ремонт дороги по вул.Жеваги  в м.Обухів Київської області</t>
  </si>
  <si>
    <t>2.131</t>
  </si>
  <si>
    <t>Поточний ремонт дороги по мкрн.Сосновий  в м.Обухів Київської області</t>
  </si>
  <si>
    <t>2.132</t>
  </si>
  <si>
    <t>Поточний ремонт дороги по вул.Гоголя в районі житлових будинків №27, №29 в м.Обухів Київської області</t>
  </si>
  <si>
    <t>2.133</t>
  </si>
  <si>
    <t>2.134</t>
  </si>
  <si>
    <t>Поточний ремонт прибудинкової території в районі ж/б 10 по вул.Миру в м.Обухів Київської області</t>
  </si>
  <si>
    <t>2.137</t>
  </si>
  <si>
    <t>Поточний ремонт внутрішньо дворового проїзду в районі житлового будинку №12 на м-н Яблуневий   в м.Обухів Київської області</t>
  </si>
  <si>
    <t>2.138</t>
  </si>
  <si>
    <t>Поточний ремонт внутрішньо дворового проїзду в районі житлового будинку №13 на м-н Яблуневий   в м.Обухів Київської області</t>
  </si>
  <si>
    <t>2.139</t>
  </si>
  <si>
    <t>Поточний ремонт внутрішньо дворового проїзду в районі житлового будинку №14 на м-н Яблуневий   в м.Обухів Київської області</t>
  </si>
  <si>
    <t>2.140</t>
  </si>
  <si>
    <t>Поточний ремонт дороги по вул.Шевченко в с.Германівка  Обухівського району Київської області</t>
  </si>
  <si>
    <t>2.141</t>
  </si>
  <si>
    <t>Поточний ремонт дороги по вул.Хуторна в с.Перегонівка   Обухівського району Київської області</t>
  </si>
  <si>
    <t>2.142</t>
  </si>
  <si>
    <t>Поточний ремонт дороги по вул.Вишнева в с.Кулі   Обухівського району Київської області</t>
  </si>
  <si>
    <t>2.143</t>
  </si>
  <si>
    <t>Поточний ремонт дороги по вул.Приозерна в с.Деремезна   Обухівського району Київської області</t>
  </si>
  <si>
    <t>3.2</t>
  </si>
  <si>
    <t>Поточний ремонт прибудинкової території в районі ж/б 64 по вул.Київська в м.Обухів Київської області</t>
  </si>
  <si>
    <t>Поточний ремонт прибудинкової території  по вул.Чумацький Шлях 28 в м.Обухів Київської області</t>
  </si>
  <si>
    <t>1.78</t>
  </si>
  <si>
    <t>1.79</t>
  </si>
  <si>
    <t>1.80</t>
  </si>
  <si>
    <t>1.81</t>
  </si>
  <si>
    <t>1.82</t>
  </si>
  <si>
    <t>1.83</t>
  </si>
  <si>
    <t>1.84</t>
  </si>
  <si>
    <t>Виготовлення КД « Капітальний ремонт дороги ж/м Лукавиця (3 сектор 3 лінія) в м. Обухів Київської області» в т.ч. експертиза</t>
  </si>
  <si>
    <t>1.85</t>
  </si>
  <si>
    <t>Виготовлення КД « Капітальний ремонт внутрішньодворового проїзду та пішохідних зон ж.б. №2 по вул. Чумацький Шлях в м. Обухів Київської області» в т.ч. експертиза</t>
  </si>
  <si>
    <t>1.86</t>
  </si>
  <si>
    <t>Виготовлення КД « Капітальний ремонт дороги по вул. Садова в с. Нещерів Обухівського району Київської області» в т.ч. експертиза</t>
  </si>
  <si>
    <t>1.87</t>
  </si>
  <si>
    <t>Виготовлення КД «Капітальний ремонт дороги по вул. Трьохджерельна в с. Нещерів Обухівського району Київської області», в т.ч. експертиза</t>
  </si>
  <si>
    <t>1.88</t>
  </si>
  <si>
    <t>Виготовлення ПКД «Капітальний ремонт пішохідної зони  (з укріпленням  узбіччя) по вул.Козацький Шлях в м.Обухів Київської області», в т.ч. експертиза</t>
  </si>
  <si>
    <t>1.89</t>
  </si>
  <si>
    <t>Виготовлення КД «Капітальний ремонт пішохідної зони біля пішохідного перехідного моста в районі вул.Київська в м.Обухів Київської області», в т.ч. експертиза</t>
  </si>
  <si>
    <t>1.90</t>
  </si>
  <si>
    <t>Виготовлення КД «Капітальний ремонт пішохідної зони в районі вул.Піщана 101а в м.Обухів Київської області», в т.ч. експертиза</t>
  </si>
  <si>
    <t>(91 секція)</t>
  </si>
  <si>
    <t>1.91</t>
  </si>
  <si>
    <t>1.92</t>
  </si>
  <si>
    <t>65м2</t>
  </si>
  <si>
    <t>55м2</t>
  </si>
  <si>
    <t>2.144</t>
  </si>
  <si>
    <t>2.145</t>
  </si>
  <si>
    <t>Поточний ремонт дороги по вул.Гержана в с.Перегонівка  Обухівського району Київської області</t>
  </si>
  <si>
    <t>2.146</t>
  </si>
  <si>
    <t>Поточний ремонт дороги по вул.Осипенко в районі житлового будинку № 26 в м.Обухів Київської області</t>
  </si>
  <si>
    <t>Капітальний ремонт пішохідної зони по вул.Чумацький Шлях (в районі автостанції ) в м.Обухів Київської області в т.ч. виготовлення та експертиза</t>
  </si>
  <si>
    <t xml:space="preserve"> Капітальний ремонт тротуару в районі ж/б 7 по вул.Миру в м.Обухів Київської області  ” в т.ч виготовлення КД</t>
  </si>
  <si>
    <t xml:space="preserve">Капітальний ремонт пішохідної зони по вул. Миру 9-К в м.Обухів Київської області  ” в т.ч виготовлення КД </t>
  </si>
  <si>
    <t>Дорога</t>
  </si>
  <si>
    <t>Пішохідна зона</t>
  </si>
  <si>
    <t>Зелені насадження</t>
  </si>
  <si>
    <t>Лави</t>
  </si>
  <si>
    <t>Урни</t>
  </si>
  <si>
    <t>Фонарі</t>
  </si>
  <si>
    <t>Поточний ремонт дороги по вул. Миру в м.Обухів Київської області</t>
  </si>
  <si>
    <t>Поточний ремонт дороги по мкрн. Яблуневий в м.Обухів Київської області</t>
  </si>
  <si>
    <t>Поточний ремонт дороги по вул. Каштанова в м.Обухів Київської області</t>
  </si>
  <si>
    <t>Поточний ремонт дороги по вул. Малишка в м.Обухів Київської області</t>
  </si>
  <si>
    <t>Поточний ремонт дороги вул. Горіхова   с. Нещерів Обухівського району Київської області</t>
  </si>
  <si>
    <t>Поточний ремонт дороги по вул.Шевченка  в с.Деремезна  Обухівського району Київської області в.т. виготовлення КД</t>
  </si>
  <si>
    <t>Поточний ремонт дороги по вул.Гагаріна  в с.Деремезна  Обухівського району Київської області в.т. виготовлення КД</t>
  </si>
  <si>
    <t>Поточний ремонт дороги по вул.Макаренка   в с.Семенівка Обухівського району Київської області в.т. виготовлення КД</t>
  </si>
  <si>
    <t>Поточний ремонт дороги по вул.Гоголя   в с.Семенівка Обухівського району Київської області в.т. виготовлення КД</t>
  </si>
  <si>
    <t>∑</t>
  </si>
  <si>
    <t>По всій програмі:</t>
  </si>
  <si>
    <t>Архітектурні форми</t>
  </si>
  <si>
    <t>ФЕМ- 3730 м2,
а/б покриття  3979м2; 
зелені насадження 2172 - шт,.</t>
  </si>
  <si>
    <t>86,5 м2</t>
  </si>
  <si>
    <t>795,2 м2</t>
  </si>
  <si>
    <t>380,45 м2</t>
  </si>
  <si>
    <t>711 м2</t>
  </si>
  <si>
    <t>392,28 м2</t>
  </si>
  <si>
    <t>597 м2</t>
  </si>
  <si>
    <t>1750 м2</t>
  </si>
  <si>
    <t>1229 м2</t>
  </si>
  <si>
    <t>824 м2</t>
  </si>
  <si>
    <t>1333 м2</t>
  </si>
  <si>
    <t>422,6 м2</t>
  </si>
  <si>
    <t>502,85 м2</t>
  </si>
  <si>
    <t>863,84 м2</t>
  </si>
  <si>
    <t>1141 м2</t>
  </si>
  <si>
    <t>608 м2</t>
  </si>
  <si>
    <t>471,95 м2</t>
  </si>
  <si>
    <t>931,84 м2</t>
  </si>
  <si>
    <t>922,55 м2</t>
  </si>
  <si>
    <t>1593,52 м2</t>
  </si>
  <si>
    <t>1671,6 м2</t>
  </si>
  <si>
    <t>1889,55 м2</t>
  </si>
  <si>
    <t>1099 м2</t>
  </si>
  <si>
    <t>4655,6 м2</t>
  </si>
  <si>
    <t>220,30 м2</t>
  </si>
  <si>
    <t>1100 м2</t>
  </si>
  <si>
    <t>350 м2</t>
  </si>
  <si>
    <t>120 м2</t>
  </si>
  <si>
    <t>1596,87 2</t>
  </si>
  <si>
    <t>2466 м2</t>
  </si>
  <si>
    <t>50 м2</t>
  </si>
  <si>
    <t>11,8 м2</t>
  </si>
  <si>
    <t>Керуючий справами  Виконавчого комітету Обухівської міської ради</t>
  </si>
  <si>
    <t>Віктор РОГОЗА</t>
  </si>
  <si>
    <t xml:space="preserve">Начальник відділу капітального будівництва Виконавчого комітету Обухівської міської ради </t>
  </si>
  <si>
    <t>Тетяна АНТИПОВА</t>
  </si>
  <si>
    <t>Додаток 1 
до рішення Виконавчого комітету Обухівської міської ради
 від _________________№_______________</t>
  </si>
  <si>
    <t>-</t>
  </si>
  <si>
    <t>Поточний ремонт дороги по вул.Гагаріна, вул.В.Коробко, вул.Соборна, вул.Садова, вул.Молодіжна, вул.Жовтнева, вул.Сонячна, вул.Кринична, вул.Героїв Майдану, провулок Криничний  в с.Григорівка Обухівського району Київської області в.т. виготовлення КД</t>
  </si>
  <si>
    <t xml:space="preserve">                                       Звіт про хід виконання Комплексної Програми утримання та розвитку  вулиць і доріг комунальної власності населених пунктів  Обухівської міської територіальної громади Київської області на 2021-2025  роки  
за 2021 рік</t>
  </si>
  <si>
    <t>Капітальний ремонт внутрішньодворового проїзду та пішохідних зон жб №28 по вул.Каштанова в м.Обухів Київської області</t>
  </si>
  <si>
    <t>Капітальний ремонт внутрішньодворового проїзду та пішохідних зон жб №32 по вул.Каштанова в м.Обухів Київської області</t>
  </si>
  <si>
    <t>Капітальний ремонт внутрішньодворового проїзду та пішохідних зон жб №34 по вул.Каштанова в м.Обухів Київської області</t>
  </si>
  <si>
    <t>Капітальний ремонт внутрішньодворового проїзду та пішохідних зон жб №36 по вул.Каштанова в м.Обухів Київської області</t>
  </si>
  <si>
    <t>Капітальний ремонт внутрішньодворового проїзду та пішохідних зон жб №38 по вул.Каштанова в м.Обухів Київської області</t>
  </si>
  <si>
    <t>Капітальний ремонт внутрішньодворового проїзду та пішохідних зон жб №22 по вул.Каштанова в  м.Обухів Київської області</t>
  </si>
  <si>
    <t>Капітальний ремонт внутрішньодворового проїзду та пішохідних зон жб №24 по вул.Каштанова в м.Обухів Київської області</t>
  </si>
  <si>
    <t>Капітальний ремонт внутрішньодворового проїзду та пішохідних зон жб №40 по вул.Каштанова в м.Обухів Київської області</t>
  </si>
  <si>
    <t xml:space="preserve">Виготовлення КД "Капітальний ремонт пішохідних зон житлового будинку №123 по вул.Київська в м.Обухів Київської області " в т.ч. експертиза </t>
  </si>
  <si>
    <t xml:space="preserve">Виготовлення КД "Капітальний ремонт внутрішньодворового проїзду та пішохідних зон житлового будинку №14 по вул.Каштанова в м.Обухів Київської області " в т.ч. експертиза </t>
  </si>
  <si>
    <t xml:space="preserve">Виготовлення КД "Капітальний ремонт внутрішньодворового проїзду та пішохідних зон житлового будинку №16 по вул.Каштанова в м.Обухів Київської області " в т.ч. експертиза </t>
  </si>
  <si>
    <t xml:space="preserve">Виготовлення КД "Капітальний ремонт дороги ж/м Лукавиця ( № 513-№499, 479,№438А-№458)  м.Обухів Київської області " в т.ч. експертиза </t>
  </si>
  <si>
    <t xml:space="preserve">Виготовлення КД "Капітальний ремонт дороги ( до кладовища)  по вул.Першотравнева с.Красна Слобідка Обухівського району  Київської області " в т.ч. експертиза </t>
  </si>
  <si>
    <t>Виготовлення КД "Капітальний ремонт тротуару   по вул.Каштанова в м.Обухів Київської області " в т.ч. експертиза</t>
  </si>
  <si>
    <t xml:space="preserve">Виготовлення КД "Капітальний ремонт внутрішньодворового проїзду ( автостоянка )  житлового будинку №180 по вул.Київська в м.Обухів Київської області " в т.ч. експертиза </t>
  </si>
  <si>
    <t xml:space="preserve">Виготовлення КД "Капітальний ремонт дороги по вул. Київська в м.Обухів Київської області " в т.ч. експертиза </t>
  </si>
  <si>
    <t>Виготовлення КД "Капітальний ремонт дороги по вул. Миру  в м.Обухів Київської області "в т.ч. експертиза</t>
  </si>
  <si>
    <t>Виготовлення КД "Капітальний ремонт дороги по вул. Каштанова  в м.Обухів Київської області "в т.ч. експертиза</t>
  </si>
  <si>
    <t>Виготовлення ПКД "Капітальний ремонт пішохідних зон з благоустроєм   по вул.Київська  " в м.Обухів Київської області в т.ч. експертиза</t>
  </si>
  <si>
    <t xml:space="preserve">Виготовлення КД "Капітальний ремонт внутрішньодворового проїзду та пішохідних зон житлового будинку №2 по вул. В. Чаплінського  в м.Обухів Київської області " в т.ч. експертиза </t>
  </si>
  <si>
    <t xml:space="preserve">Виготовлення КД "Капітальний ремонт дороги ( центральна) ж/м Стожари   в м.Обухів Київської області " в т.ч. експертиза </t>
  </si>
  <si>
    <t xml:space="preserve">Виготовлення КД "Капітальний ремонт дороги  по вул. Лєрмонтова   в м.Обухів Київської області " в т.ч. експертиза </t>
  </si>
  <si>
    <t xml:space="preserve">Виготовлення КД "Капітальний ремонт дороги по вул. Трипільська    в м.Обухів Київської області " в т.ч. експертиза </t>
  </si>
  <si>
    <t xml:space="preserve">Виготовлення КД "Капітальний ремонт внутрішньодворового проїзду та пішохідних зон житлового будинку №11 по вул.Каштанова в м.Обухів Київської області " в т.ч. експертиза </t>
  </si>
  <si>
    <t xml:space="preserve">Виготовлення КД "Капітальний ремонт дороги  між ж/м Полянський 1 та ж/м Полянський 2    в м.Обухів Київської області " в т.ч. експертиза </t>
  </si>
  <si>
    <t xml:space="preserve">Виготовлення КД "Капітальний ремонт тротуару по вул.Чумацький шлях в м.Обухів Київської області " в т.ч. експертиза </t>
  </si>
  <si>
    <t xml:space="preserve">Виготовлення КД "Капітальний ремонт дороги  по вул. Зарічна    в с.Перегонівка Обухівського району  Київської області " в т.ч. експертиза </t>
  </si>
  <si>
    <t xml:space="preserve">Виготовлення КД "Капітальний ремонт дороги по вул.Чумацький шлях №31-№35 в м.Обухів Київської області " в т.ч. експертиза </t>
  </si>
  <si>
    <t xml:space="preserve">Виготовлення КД "Капітальний ремонт дороги  ж/м Вікторія    в м.Обухів Київської області " в т.ч. експертиза </t>
  </si>
  <si>
    <t xml:space="preserve">Виготовлення КД "Капітальний ремонт внутрішньодворового проїзду та пішохідних зон житлового будинку №170 по вул.Київська в м.Обухів Київської області " в т.ч. експертиза </t>
  </si>
  <si>
    <t xml:space="preserve">Виготовлення КД "Капітальний ремонт дороги ж/м Полянський ,1 (підїзд до №130-№131) в м.Обухів Київської області " в т.ч. експертиза </t>
  </si>
  <si>
    <t xml:space="preserve">Виготовлення КД "Капітальний ремонт  пішохідних зон   в районі  вул.Лєрмонтова 22  в м.Обухів Київської області " в т.ч. експертиза </t>
  </si>
  <si>
    <t xml:space="preserve">Виготовлення КД "Капітальний ремонт дороги ж/м Лукавиця ( 4 сектор 8 лінія) в м.Обухів Київської області " в т.ч. експертиза </t>
  </si>
  <si>
    <t xml:space="preserve">Виготовлення КД "Капітальний ремонт  пішохідної зони житлового будинку по  вул.Миру 9  в м.Обухів Київської області" </t>
  </si>
  <si>
    <t>Виготовлення КД "Капітальний ремонт  пішохідної зони    вул.К.Краськова та вул.Робоча   в м.Обухів Київської області " в т.ч. експертиза</t>
  </si>
  <si>
    <t>Виготовлення КД "Капітальний ремонт  дороги ж/м Сонячний  в м.Обухів Київської області " в т.ч. експертиза</t>
  </si>
  <si>
    <r>
      <t xml:space="preserve">Виготовлення КД "Капітальний ремонт внутрішньодворового проїзду та пішохідних зон  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житлового  будинку</t>
    </r>
    <r>
      <rPr>
        <b/>
        <sz val="11"/>
        <color rgb="FFFF0000"/>
        <rFont val="Times New Roman"/>
        <family val="1"/>
        <charset val="204"/>
      </rPr>
      <t xml:space="preserve">  </t>
    </r>
    <r>
      <rPr>
        <b/>
        <sz val="11"/>
        <color rgb="FF000000"/>
        <rFont val="Times New Roman"/>
        <family val="1"/>
        <charset val="204"/>
      </rPr>
      <t xml:space="preserve"> № 2 по вул.Лєрмонтова в м.Обухів Київської області " в т.ч. експертиза</t>
    </r>
  </si>
  <si>
    <t>Виготовлення КД "Капітальний ремонт  дороги по вул.Зоряна   в м.Обухів Київської області " в т.ч. експертиза</t>
  </si>
  <si>
    <t>Виготовлення КД "Капітальний ремонт  дороги по вул.Зелений Гай   в м.Обухів Київської області " в т.ч. експертиза</t>
  </si>
  <si>
    <t>Виготовлення КД "Капітальний ремонт  дороги по вул.Чумацький шлях (в напрямку вул.Гоголя)   в м.Обухів Київської області " в т.ч. експертиза</t>
  </si>
  <si>
    <t>Виготовлення КД "Капітальний ремонт  дороги в районі житлового будинку по вул.Миру ,7    в м.Обухів Київської області" в т.ч. експертиза</t>
  </si>
  <si>
    <t>Виготовлення КД "Капітальний ремонт внутрішньо дворового проїзду  та пішохідних зон в районі житлових будинків №4,№5 мікрорайону Яблуневий в м. Обухів Київської області в т.ч. експертиза</t>
  </si>
  <si>
    <t xml:space="preserve">Капітальний ремонт дороги по вул.Миру  в с.Козіївка Обухівського району Київської області в т.ч. виготовлення КД та експертиза </t>
  </si>
  <si>
    <t xml:space="preserve">Капітальний ремонт дороги по вул.Лесі Українки в с.Красне Перше Обухівського району Київської області в т.ч. виготовлення КД та експертиза </t>
  </si>
  <si>
    <t>Виготовлення КД "Капітальний ремонт внутрішньо дворового проїзду  та пішохідних зон житлового будинку №115 по вул.Київська в м. Обухів Київської області в т.ч. експертиза</t>
  </si>
  <si>
    <t>Виготовлення КД «Капітальний ремонт дороги по вул.Садова в с.Мала Вільшанка Обухівського району Київської області» в т.ч. експертиза</t>
  </si>
  <si>
    <t>Виготовлення КД «Капітальний ремонт дороги по вул.Миру в с.Мала Вільшанка Обухівського району Київської області» в т.ч. експертиза</t>
  </si>
  <si>
    <t>Виготовлення КД «Капітальний ремонт дороги по вул.Польок (в районі кладовища) в м.Обухів Київської області» в т.ч. експертиза</t>
  </si>
  <si>
    <t>Виготовлення КД «Капітальний ремонт дороги по вул.Волошкова 20 до вул.9-го Травня в м.Обухів Київської області» в т.ч. експертиза</t>
  </si>
  <si>
    <t>Виготовлення КД «Капітальний ремонт внутрішньодворового проїзду та пішохідних зон житлового будинку №7  мкрн.Яблуневий в м.Обухів Київської області» в т.ч. експертиза</t>
  </si>
  <si>
    <t>Виготовлення КД «Капітальний ремонт дороги по вул.Яровівська (від житлового будинку №13 до кладовища) в м.Обухів Київської області» в т.ч. експертиза</t>
  </si>
  <si>
    <t>Виготовлення КД «Капітальний ремонт дороги по вул.Полунична в с.Нещерів Обухівського району Київської області» в т.ч. експертиза</t>
  </si>
  <si>
    <t>Виготовлення КД «Капітальний ремонт дороги по вул.Коноша в с.Матяшівка Обухівського району Київської області» в т.ч. експертиза</t>
  </si>
  <si>
    <t>Виготовлення КД «Капітальний ремонт дороги по вул.Молодіжна в с.Семенівка Обухівського району Київської області» в т.ч. експертиза</t>
  </si>
  <si>
    <r>
      <t xml:space="preserve">Виготовлення КД “Капітальний ремонт дороги по вул. Шкільна в с. Деремезна Обухівського району Київської області  ” </t>
    </r>
    <r>
      <rPr>
        <b/>
        <sz val="11"/>
        <color rgb="FF000000"/>
        <rFont val="Times New Roman"/>
        <family val="1"/>
        <charset val="204"/>
      </rPr>
      <t>в т.ч. експертиза</t>
    </r>
  </si>
  <si>
    <r>
      <t xml:space="preserve">Виготовлення КД “Капітальний ремонт дороги по вул. Лесі Українки в с. Деремезна Обухівського району Київської області ” </t>
    </r>
    <r>
      <rPr>
        <b/>
        <sz val="11"/>
        <color rgb="FF000000"/>
        <rFont val="Times New Roman"/>
        <family val="1"/>
        <charset val="204"/>
      </rPr>
      <t>в т.ч. експертиза</t>
    </r>
  </si>
  <si>
    <t>Виготовлення КД “Капітальний ремонт дороги по вул. Садова в с. Семенівка Обухівського району Київської області  ” в т.ч. експертиза</t>
  </si>
  <si>
    <t>Виготовлення КД “Капітальний ремонт дороги по вул. Гайдамацька м. Обухів  Київської області  ” в т.ч. експертиза</t>
  </si>
  <si>
    <t>Виготовлення КД “Капітальний ремонт дороги по вул. Піщана  м. Обухів  Київської області  ” в т.ч. експертиза</t>
  </si>
  <si>
    <t>Виготовлення КД “Капітальний ремонт дороги по вул. Яблунева в с. Степок  Обухівського району Київської області  ” в т.ч. експертиза</t>
  </si>
  <si>
    <r>
      <t xml:space="preserve"> Капітальний ремонт тротуару в районі ж/б 7 по вул.Миру в м.Обухів Київської області ” </t>
    </r>
    <r>
      <rPr>
        <sz val="11"/>
        <color rgb="FF000000"/>
        <rFont val="Times New Roman"/>
        <family val="1"/>
        <charset val="204"/>
      </rPr>
      <t>в т.ч. виготовлення КД</t>
    </r>
  </si>
  <si>
    <r>
      <t xml:space="preserve">Капітальний ремонт пішохідної зони по вул. Миру 9-К в м.Обухів Київської області  ” </t>
    </r>
    <r>
      <rPr>
        <sz val="11"/>
        <color rgb="FF000000"/>
        <rFont val="Times New Roman"/>
        <family val="1"/>
        <charset val="204"/>
      </rPr>
      <t xml:space="preserve">в т.ч. виготовлення КД </t>
    </r>
  </si>
  <si>
    <t>(підпис)</t>
  </si>
</sst>
</file>

<file path=xl/styles.xml><?xml version="1.0" encoding="utf-8"?>
<styleSheet xmlns="http://schemas.openxmlformats.org/spreadsheetml/2006/main">
  <fonts count="19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sz val="11"/>
      <color rgb="FFFF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D6DCE5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4" tint="0.39997558519241921"/>
        <bgColor rgb="FFC0C0C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0" xfId="0" applyFont="1" applyBorder="1"/>
    <xf numFmtId="4" fontId="5" fillId="9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" fontId="5" fillId="6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Border="1"/>
    <xf numFmtId="49" fontId="1" fillId="0" borderId="3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top" wrapText="1"/>
    </xf>
    <xf numFmtId="0" fontId="5" fillId="7" borderId="2" xfId="0" applyFont="1" applyFill="1" applyBorder="1" applyAlignment="1">
      <alignment horizontal="left" wrapText="1"/>
    </xf>
    <xf numFmtId="4" fontId="5" fillId="7" borderId="2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4" fontId="1" fillId="5" borderId="2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vertical="top"/>
    </xf>
    <xf numFmtId="0" fontId="1" fillId="5" borderId="2" xfId="0" applyFont="1" applyFill="1" applyBorder="1" applyAlignment="1">
      <alignment horizontal="center" vertical="center"/>
    </xf>
    <xf numFmtId="4" fontId="8" fillId="5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vertical="top"/>
    </xf>
    <xf numFmtId="0" fontId="1" fillId="0" borderId="2" xfId="0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vertical="top"/>
    </xf>
    <xf numFmtId="49" fontId="7" fillId="0" borderId="2" xfId="0" applyNumberFormat="1" applyFont="1" applyBorder="1" applyAlignment="1">
      <alignment vertical="top"/>
    </xf>
    <xf numFmtId="4" fontId="8" fillId="5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wrapText="1"/>
    </xf>
    <xf numFmtId="49" fontId="7" fillId="0" borderId="4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4" fontId="5" fillId="0" borderId="2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vertical="top" wrapText="1"/>
    </xf>
    <xf numFmtId="49" fontId="1" fillId="2" borderId="7" xfId="0" applyNumberFormat="1" applyFont="1" applyFill="1" applyBorder="1" applyAlignment="1">
      <alignment vertical="top" wrapText="1"/>
    </xf>
    <xf numFmtId="0" fontId="5" fillId="6" borderId="2" xfId="0" applyFont="1" applyFill="1" applyBorder="1" applyAlignment="1">
      <alignment wrapText="1"/>
    </xf>
    <xf numFmtId="0" fontId="1" fillId="6" borderId="2" xfId="0" applyFont="1" applyFill="1" applyBorder="1" applyAlignment="1">
      <alignment wrapText="1"/>
    </xf>
    <xf numFmtId="0" fontId="1" fillId="6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vertical="top" wrapText="1"/>
    </xf>
    <xf numFmtId="49" fontId="5" fillId="6" borderId="2" xfId="0" applyNumberFormat="1" applyFont="1" applyFill="1" applyBorder="1" applyAlignment="1">
      <alignment vertical="top" wrapText="1"/>
    </xf>
    <xf numFmtId="4" fontId="5" fillId="8" borderId="2" xfId="0" applyNumberFormat="1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49" fontId="1" fillId="9" borderId="2" xfId="0" applyNumberFormat="1" applyFont="1" applyFill="1" applyBorder="1" applyAlignment="1">
      <alignment vertical="top" wrapText="1"/>
    </xf>
    <xf numFmtId="0" fontId="5" fillId="9" borderId="2" xfId="0" applyFont="1" applyFill="1" applyBorder="1" applyAlignment="1">
      <alignment wrapText="1"/>
    </xf>
    <xf numFmtId="0" fontId="0" fillId="10" borderId="2" xfId="0" applyFont="1" applyFill="1" applyBorder="1"/>
    <xf numFmtId="0" fontId="0" fillId="10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top"/>
    </xf>
    <xf numFmtId="0" fontId="0" fillId="0" borderId="0" xfId="0" applyFont="1" applyAlignment="1"/>
    <xf numFmtId="4" fontId="0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0" fillId="0" borderId="0" xfId="0" applyFont="1" applyBorder="1" applyAlignment="1">
      <alignment wrapText="1"/>
    </xf>
    <xf numFmtId="0" fontId="0" fillId="0" borderId="0" xfId="0" applyFont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vertical="top" wrapText="1"/>
    </xf>
    <xf numFmtId="2" fontId="12" fillId="0" borderId="7" xfId="0" applyNumberFormat="1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0" fillId="0" borderId="0" xfId="0" applyFont="1" applyFill="1" applyAlignment="1"/>
    <xf numFmtId="4" fontId="2" fillId="0" borderId="0" xfId="0" applyNumberFormat="1" applyFont="1" applyBorder="1" applyAlignment="1">
      <alignment vertical="top" wrapText="1"/>
    </xf>
    <xf numFmtId="0" fontId="9" fillId="5" borderId="2" xfId="0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2" fontId="12" fillId="0" borderId="11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/>
    </xf>
    <xf numFmtId="2" fontId="1" fillId="0" borderId="2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9" fillId="0" borderId="2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2" fontId="4" fillId="0" borderId="2" xfId="0" applyNumberFormat="1" applyFont="1" applyFill="1" applyBorder="1" applyAlignment="1">
      <alignment horizontal="left" vertical="center" wrapText="1"/>
    </xf>
    <xf numFmtId="2" fontId="5" fillId="0" borderId="2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2" xfId="0" applyFont="1" applyBorder="1"/>
    <xf numFmtId="0" fontId="1" fillId="0" borderId="8" xfId="0" applyFont="1" applyFill="1" applyBorder="1" applyAlignment="1">
      <alignment wrapText="1"/>
    </xf>
    <xf numFmtId="0" fontId="14" fillId="0" borderId="2" xfId="0" applyFont="1" applyFill="1" applyBorder="1" applyAlignment="1">
      <alignment wrapText="1"/>
    </xf>
    <xf numFmtId="0" fontId="12" fillId="0" borderId="2" xfId="0" applyFont="1" applyFill="1" applyBorder="1" applyAlignment="1">
      <alignment wrapText="1"/>
    </xf>
    <xf numFmtId="0" fontId="12" fillId="0" borderId="4" xfId="0" applyFont="1" applyFill="1" applyBorder="1" applyAlignment="1">
      <alignment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vertical="center" wrapText="1"/>
    </xf>
    <xf numFmtId="2" fontId="11" fillId="0" borderId="2" xfId="0" applyNumberFormat="1" applyFont="1" applyFill="1" applyBorder="1" applyAlignment="1">
      <alignment horizontal="left" vertical="center" wrapText="1"/>
    </xf>
    <xf numFmtId="2" fontId="12" fillId="0" borderId="4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 wrapText="1"/>
    </xf>
    <xf numFmtId="4" fontId="1" fillId="7" borderId="2" xfId="0" applyNumberFormat="1" applyFont="1" applyFill="1" applyBorder="1" applyAlignment="1">
      <alignment vertical="center" wrapText="1"/>
    </xf>
    <xf numFmtId="2" fontId="1" fillId="0" borderId="4" xfId="0" applyNumberFormat="1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17" fillId="0" borderId="0" xfId="0" applyFont="1" applyAlignment="1">
      <alignment horizontal="left" vertical="center"/>
    </xf>
    <xf numFmtId="4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/>
    <xf numFmtId="0" fontId="12" fillId="0" borderId="0" xfId="0" applyFont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16" fillId="0" borderId="0" xfId="0" applyFont="1" applyAlignment="1">
      <alignment horizontal="left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top"/>
    </xf>
    <xf numFmtId="4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4" fontId="0" fillId="0" borderId="0" xfId="0" applyNumberFormat="1" applyAlignment="1">
      <alignment vertical="top"/>
    </xf>
    <xf numFmtId="4" fontId="0" fillId="0" borderId="0" xfId="0" applyNumberFormat="1" applyFont="1"/>
    <xf numFmtId="4" fontId="18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top" wrapText="1"/>
    </xf>
    <xf numFmtId="49" fontId="5" fillId="2" borderId="9" xfId="0" applyNumberFormat="1" applyFont="1" applyFill="1" applyBorder="1" applyAlignment="1">
      <alignment horizontal="center" vertical="top" wrapText="1"/>
    </xf>
    <xf numFmtId="49" fontId="5" fillId="2" borderId="5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8"/>
  <sheetViews>
    <sheetView tabSelected="1" topLeftCell="A240" zoomScale="93" zoomScaleNormal="93" workbookViewId="0">
      <selection activeCell="D250" sqref="D250"/>
    </sheetView>
  </sheetViews>
  <sheetFormatPr defaultRowHeight="15"/>
  <cols>
    <col min="1" max="1" width="6.7109375" style="69" customWidth="1"/>
    <col min="2" max="2" width="66.42578125" style="84" customWidth="1"/>
    <col min="3" max="3" width="14.28515625" style="71" customWidth="1"/>
    <col min="4" max="4" width="15.42578125" style="73" customWidth="1"/>
    <col min="5" max="5" width="21" style="12" customWidth="1"/>
    <col min="6" max="6" width="22.5703125" style="75" customWidth="1"/>
    <col min="7" max="7" width="20.7109375" style="73" hidden="1" customWidth="1"/>
    <col min="8" max="8" width="8.85546875" style="12" customWidth="1"/>
    <col min="9" max="9" width="11.42578125" style="12" customWidth="1"/>
    <col min="10" max="1023" width="8.85546875" style="12" customWidth="1"/>
    <col min="1024" max="16384" width="9.140625" style="12"/>
  </cols>
  <sheetData>
    <row r="1" spans="1:10" ht="82.5" customHeight="1">
      <c r="A1" s="135"/>
      <c r="B1" s="158" t="s">
        <v>539</v>
      </c>
      <c r="C1" s="158"/>
      <c r="D1" s="158"/>
      <c r="E1" s="158"/>
      <c r="F1" s="158"/>
      <c r="G1" s="85"/>
    </row>
    <row r="2" spans="1:10" ht="52.5" customHeight="1">
      <c r="A2" s="157" t="s">
        <v>542</v>
      </c>
      <c r="B2" s="157"/>
      <c r="C2" s="157"/>
      <c r="D2" s="157"/>
      <c r="E2" s="157"/>
      <c r="F2" s="157"/>
      <c r="G2" s="157"/>
      <c r="H2" s="13"/>
      <c r="I2" s="13"/>
      <c r="J2" s="13"/>
    </row>
    <row r="3" spans="1:10" ht="74.25" customHeight="1">
      <c r="A3" s="6" t="s">
        <v>0</v>
      </c>
      <c r="B3" s="9" t="s">
        <v>1</v>
      </c>
      <c r="C3" s="7" t="s">
        <v>361</v>
      </c>
      <c r="D3" s="7" t="s">
        <v>362</v>
      </c>
      <c r="E3" s="9" t="s">
        <v>356</v>
      </c>
      <c r="F3" s="6" t="s">
        <v>363</v>
      </c>
      <c r="G3" s="10" t="s">
        <v>368</v>
      </c>
      <c r="H3" s="13"/>
      <c r="I3" s="13"/>
      <c r="J3" s="13"/>
    </row>
    <row r="4" spans="1:10" ht="33.75" customHeight="1">
      <c r="A4" s="150" t="s">
        <v>2</v>
      </c>
      <c r="B4" s="150"/>
      <c r="C4" s="150"/>
      <c r="D4" s="150"/>
      <c r="E4" s="150"/>
      <c r="F4" s="150"/>
      <c r="G4" s="150"/>
      <c r="H4" s="13"/>
      <c r="I4" s="13"/>
      <c r="J4" s="13"/>
    </row>
    <row r="5" spans="1:10" ht="66.75" customHeight="1">
      <c r="A5" s="14" t="s">
        <v>3</v>
      </c>
      <c r="B5" s="3" t="s">
        <v>4</v>
      </c>
      <c r="C5" s="15">
        <v>10310000</v>
      </c>
      <c r="D5" s="16">
        <f>2300930.84+5320.3+2687131.4+2647842.7+2648184.98+20581.84</f>
        <v>10309992.059999999</v>
      </c>
      <c r="E5" s="17" t="s">
        <v>357</v>
      </c>
      <c r="F5" s="17" t="s">
        <v>503</v>
      </c>
      <c r="G5" s="15">
        <f>2687131.4+2306251.14+2647842.7</f>
        <v>7641225.2400000002</v>
      </c>
      <c r="H5" s="13"/>
      <c r="I5" s="13"/>
      <c r="J5" s="13"/>
    </row>
    <row r="6" spans="1:10" ht="54" customHeight="1">
      <c r="A6" s="18" t="s">
        <v>164</v>
      </c>
      <c r="B6" s="109" t="s">
        <v>551</v>
      </c>
      <c r="C6" s="10">
        <v>10000</v>
      </c>
      <c r="D6" s="19">
        <v>9720</v>
      </c>
      <c r="E6" s="20" t="s">
        <v>234</v>
      </c>
      <c r="F6" s="86" t="s">
        <v>234</v>
      </c>
      <c r="G6" s="21">
        <v>9720</v>
      </c>
      <c r="H6" s="13"/>
      <c r="I6" s="13"/>
      <c r="J6" s="13"/>
    </row>
    <row r="7" spans="1:10" ht="42.75">
      <c r="A7" s="18" t="s">
        <v>165</v>
      </c>
      <c r="B7" s="109" t="s">
        <v>552</v>
      </c>
      <c r="C7" s="10">
        <v>10000</v>
      </c>
      <c r="D7" s="19">
        <v>9922.5</v>
      </c>
      <c r="E7" s="20" t="s">
        <v>234</v>
      </c>
      <c r="F7" s="20" t="s">
        <v>234</v>
      </c>
      <c r="G7" s="21" t="s">
        <v>365</v>
      </c>
      <c r="H7" s="13"/>
      <c r="I7" s="13"/>
      <c r="J7" s="13"/>
    </row>
    <row r="8" spans="1:10" ht="61.5" customHeight="1">
      <c r="A8" s="18" t="s">
        <v>166</v>
      </c>
      <c r="B8" s="109" t="s">
        <v>553</v>
      </c>
      <c r="C8" s="10">
        <v>10000</v>
      </c>
      <c r="D8" s="19">
        <v>9922.5</v>
      </c>
      <c r="E8" s="20" t="s">
        <v>234</v>
      </c>
      <c r="F8" s="20" t="s">
        <v>234</v>
      </c>
      <c r="G8" s="21" t="s">
        <v>365</v>
      </c>
      <c r="H8" s="13"/>
      <c r="I8" s="13"/>
      <c r="J8" s="13"/>
    </row>
    <row r="9" spans="1:10" ht="64.5" customHeight="1">
      <c r="A9" s="18" t="s">
        <v>167</v>
      </c>
      <c r="B9" s="109" t="s">
        <v>554</v>
      </c>
      <c r="C9" s="10">
        <v>10000</v>
      </c>
      <c r="D9" s="19">
        <v>9720</v>
      </c>
      <c r="E9" s="20" t="s">
        <v>234</v>
      </c>
      <c r="F9" s="20" t="s">
        <v>234</v>
      </c>
      <c r="G9" s="21">
        <v>9720</v>
      </c>
      <c r="H9" s="13"/>
      <c r="I9" s="13"/>
      <c r="J9" s="13"/>
    </row>
    <row r="10" spans="1:10" ht="63" customHeight="1">
      <c r="A10" s="18" t="s">
        <v>168</v>
      </c>
      <c r="B10" s="109" t="s">
        <v>555</v>
      </c>
      <c r="C10" s="10">
        <v>8100</v>
      </c>
      <c r="D10" s="19">
        <v>8079.75</v>
      </c>
      <c r="E10" s="20" t="s">
        <v>234</v>
      </c>
      <c r="F10" s="20" t="s">
        <v>234</v>
      </c>
      <c r="G10" s="21">
        <v>8079.75</v>
      </c>
      <c r="H10" s="13"/>
      <c r="I10" s="13"/>
      <c r="J10" s="13"/>
    </row>
    <row r="11" spans="1:10" ht="33.75" customHeight="1">
      <c r="A11" s="18" t="s">
        <v>169</v>
      </c>
      <c r="B11" s="110" t="s">
        <v>556</v>
      </c>
      <c r="C11" s="10">
        <v>8100</v>
      </c>
      <c r="D11" s="19">
        <v>8100</v>
      </c>
      <c r="E11" s="20" t="s">
        <v>234</v>
      </c>
      <c r="F11" s="20" t="s">
        <v>234</v>
      </c>
      <c r="G11" s="21" t="s">
        <v>367</v>
      </c>
      <c r="H11" s="13"/>
      <c r="I11" s="13"/>
      <c r="J11" s="13"/>
    </row>
    <row r="12" spans="1:10" ht="42.75">
      <c r="A12" s="18" t="s">
        <v>170</v>
      </c>
      <c r="B12" s="109" t="s">
        <v>557</v>
      </c>
      <c r="C12" s="10">
        <v>8100</v>
      </c>
      <c r="D12" s="19">
        <v>8079.75</v>
      </c>
      <c r="E12" s="20" t="s">
        <v>234</v>
      </c>
      <c r="F12" s="20" t="s">
        <v>234</v>
      </c>
      <c r="G12" s="21">
        <v>8079.75</v>
      </c>
      <c r="H12" s="13"/>
      <c r="I12" s="13"/>
      <c r="J12" s="13"/>
    </row>
    <row r="13" spans="1:10" ht="45">
      <c r="A13" s="18" t="s">
        <v>171</v>
      </c>
      <c r="B13" s="3" t="s">
        <v>172</v>
      </c>
      <c r="C13" s="10">
        <v>1789000</v>
      </c>
      <c r="D13" s="19">
        <f>1733411.27+21321.66</f>
        <v>1754732.93</v>
      </c>
      <c r="E13" s="20" t="s">
        <v>236</v>
      </c>
      <c r="F13" s="20" t="s">
        <v>524</v>
      </c>
      <c r="G13" s="21">
        <v>1733411.27</v>
      </c>
      <c r="H13" s="13"/>
      <c r="I13" s="13"/>
      <c r="J13" s="13"/>
    </row>
    <row r="14" spans="1:10" ht="30">
      <c r="A14" s="18" t="s">
        <v>177</v>
      </c>
      <c r="B14" s="3" t="s">
        <v>315</v>
      </c>
      <c r="C14" s="10">
        <v>1485600</v>
      </c>
      <c r="D14" s="19">
        <f>1467241.97+18059.29</f>
        <v>1485301.26</v>
      </c>
      <c r="E14" s="20" t="s">
        <v>237</v>
      </c>
      <c r="F14" s="20" t="s">
        <v>523</v>
      </c>
      <c r="G14" s="21">
        <f>1467255*0.9</f>
        <v>1320529.5</v>
      </c>
      <c r="H14" s="13"/>
      <c r="I14" s="13"/>
      <c r="J14" s="13"/>
    </row>
    <row r="15" spans="1:10" ht="30">
      <c r="A15" s="18" t="s">
        <v>178</v>
      </c>
      <c r="B15" s="3" t="s">
        <v>543</v>
      </c>
      <c r="C15" s="10">
        <v>1486300</v>
      </c>
      <c r="D15" s="19">
        <f>1384243.45+17020.02+83683.73+1030.48</f>
        <v>1485977.68</v>
      </c>
      <c r="E15" s="20" t="s">
        <v>238</v>
      </c>
      <c r="F15" s="20" t="s">
        <v>522</v>
      </c>
      <c r="G15" s="21">
        <v>1384243.45</v>
      </c>
      <c r="H15" s="13"/>
      <c r="I15" s="13"/>
      <c r="J15" s="13"/>
    </row>
    <row r="16" spans="1:10" ht="30">
      <c r="A16" s="18" t="s">
        <v>179</v>
      </c>
      <c r="B16" s="3" t="s">
        <v>544</v>
      </c>
      <c r="C16" s="10">
        <v>938700</v>
      </c>
      <c r="D16" s="19">
        <f>927058.04+11372.32</f>
        <v>938430.36</v>
      </c>
      <c r="E16" s="20" t="s">
        <v>239</v>
      </c>
      <c r="F16" s="20" t="s">
        <v>521</v>
      </c>
      <c r="G16" s="21">
        <v>927058.04</v>
      </c>
      <c r="H16" s="13"/>
      <c r="I16" s="13"/>
      <c r="J16" s="13"/>
    </row>
    <row r="17" spans="1:10" ht="30">
      <c r="A17" s="18" t="s">
        <v>180</v>
      </c>
      <c r="B17" s="3" t="s">
        <v>545</v>
      </c>
      <c r="C17" s="10">
        <v>908860</v>
      </c>
      <c r="D17" s="19">
        <f>897600.6+10996.34</f>
        <v>908596.94</v>
      </c>
      <c r="E17" s="20" t="s">
        <v>240</v>
      </c>
      <c r="F17" s="20" t="s">
        <v>520</v>
      </c>
      <c r="G17" s="21">
        <v>897618.64</v>
      </c>
      <c r="H17" s="13"/>
      <c r="I17" s="13"/>
      <c r="J17" s="13"/>
    </row>
    <row r="18" spans="1:10" ht="30">
      <c r="A18" s="18" t="s">
        <v>181</v>
      </c>
      <c r="B18" s="3" t="s">
        <v>546</v>
      </c>
      <c r="C18" s="10">
        <v>512300</v>
      </c>
      <c r="D18" s="19">
        <f>499100.08+6121.11</f>
        <v>505221.19</v>
      </c>
      <c r="E18" s="20" t="s">
        <v>241</v>
      </c>
      <c r="F18" s="20" t="s">
        <v>519</v>
      </c>
      <c r="G18" s="21">
        <v>499100.08</v>
      </c>
      <c r="H18" s="13"/>
      <c r="I18" s="13"/>
      <c r="J18" s="13"/>
    </row>
    <row r="19" spans="1:10" ht="30">
      <c r="A19" s="18" t="s">
        <v>182</v>
      </c>
      <c r="B19" s="3" t="s">
        <v>547</v>
      </c>
      <c r="C19" s="10">
        <v>657300</v>
      </c>
      <c r="D19" s="19">
        <f>649052.09+7957.05</f>
        <v>657009.14</v>
      </c>
      <c r="E19" s="20" t="s">
        <v>242</v>
      </c>
      <c r="F19" s="20" t="s">
        <v>518</v>
      </c>
      <c r="G19" s="21">
        <v>649052.09</v>
      </c>
      <c r="H19" s="13"/>
      <c r="I19" s="13"/>
      <c r="J19" s="13"/>
    </row>
    <row r="20" spans="1:10" ht="30">
      <c r="A20" s="18" t="s">
        <v>229</v>
      </c>
      <c r="B20" s="3" t="s">
        <v>548</v>
      </c>
      <c r="C20" s="10">
        <v>1234500</v>
      </c>
      <c r="D20" s="19">
        <f>1125520.42+13861.37+1159.24+93855.13</f>
        <v>1234396.1600000001</v>
      </c>
      <c r="E20" s="20" t="s">
        <v>247</v>
      </c>
      <c r="F20" s="20" t="s">
        <v>517</v>
      </c>
      <c r="G20" s="21">
        <f>1219400*0.9</f>
        <v>1097460</v>
      </c>
      <c r="H20" s="13"/>
      <c r="I20" s="13"/>
      <c r="J20" s="13"/>
    </row>
    <row r="21" spans="1:10" ht="30">
      <c r="A21" s="18" t="s">
        <v>183</v>
      </c>
      <c r="B21" s="3" t="s">
        <v>549</v>
      </c>
      <c r="C21" s="10">
        <v>899390</v>
      </c>
      <c r="D21" s="19">
        <f>888179.53+10927.89</f>
        <v>899107.42</v>
      </c>
      <c r="E21" s="20" t="s">
        <v>243</v>
      </c>
      <c r="F21" s="20" t="s">
        <v>516</v>
      </c>
      <c r="G21" s="21">
        <f>888183*0.9</f>
        <v>799364.70000000007</v>
      </c>
      <c r="H21" s="13"/>
      <c r="I21" s="13"/>
      <c r="J21" s="13"/>
    </row>
    <row r="22" spans="1:10" ht="28.5">
      <c r="A22" s="18" t="s">
        <v>184</v>
      </c>
      <c r="B22" s="109" t="s">
        <v>558</v>
      </c>
      <c r="C22" s="10">
        <v>10000</v>
      </c>
      <c r="D22" s="19">
        <v>9720</v>
      </c>
      <c r="E22" s="20" t="s">
        <v>234</v>
      </c>
      <c r="F22" s="20" t="s">
        <v>234</v>
      </c>
      <c r="G22" s="21">
        <v>9720</v>
      </c>
      <c r="H22" s="13"/>
      <c r="I22" s="13"/>
      <c r="J22" s="13"/>
    </row>
    <row r="23" spans="1:10" ht="28.5">
      <c r="A23" s="18" t="s">
        <v>185</v>
      </c>
      <c r="B23" s="109" t="s">
        <v>559</v>
      </c>
      <c r="C23" s="10">
        <v>10000</v>
      </c>
      <c r="D23" s="19">
        <v>9720</v>
      </c>
      <c r="E23" s="20" t="s">
        <v>234</v>
      </c>
      <c r="F23" s="20" t="s">
        <v>234</v>
      </c>
      <c r="G23" s="21">
        <v>9922.5</v>
      </c>
      <c r="H23" s="13"/>
      <c r="I23" s="13"/>
      <c r="J23" s="13"/>
    </row>
    <row r="24" spans="1:10" ht="28.5">
      <c r="A24" s="18" t="s">
        <v>186</v>
      </c>
      <c r="B24" s="109" t="s">
        <v>560</v>
      </c>
      <c r="C24" s="10">
        <v>10000</v>
      </c>
      <c r="D24" s="19">
        <v>9720</v>
      </c>
      <c r="E24" s="20" t="s">
        <v>234</v>
      </c>
      <c r="F24" s="20" t="s">
        <v>234</v>
      </c>
      <c r="G24" s="21">
        <v>9720</v>
      </c>
      <c r="H24" s="13"/>
      <c r="I24" s="13"/>
      <c r="J24" s="13"/>
    </row>
    <row r="25" spans="1:10" ht="42.75">
      <c r="A25" s="18" t="s">
        <v>187</v>
      </c>
      <c r="B25" s="109" t="s">
        <v>561</v>
      </c>
      <c r="C25" s="10">
        <v>337000</v>
      </c>
      <c r="D25" s="19">
        <v>56713.68</v>
      </c>
      <c r="E25" s="20" t="s">
        <v>235</v>
      </c>
      <c r="F25" s="20" t="s">
        <v>235</v>
      </c>
      <c r="G25" s="21" t="s">
        <v>365</v>
      </c>
      <c r="H25" s="13"/>
      <c r="I25" s="13"/>
      <c r="J25" s="13"/>
    </row>
    <row r="26" spans="1:10" ht="42.75">
      <c r="A26" s="18" t="s">
        <v>188</v>
      </c>
      <c r="B26" s="109" t="s">
        <v>350</v>
      </c>
      <c r="C26" s="10">
        <v>273000</v>
      </c>
      <c r="D26" s="19">
        <v>272681</v>
      </c>
      <c r="E26" s="20" t="s">
        <v>235</v>
      </c>
      <c r="F26" s="21" t="s">
        <v>235</v>
      </c>
      <c r="G26" s="21">
        <v>272681</v>
      </c>
      <c r="H26" s="13"/>
      <c r="I26" s="13"/>
      <c r="J26" s="13"/>
    </row>
    <row r="27" spans="1:10" ht="30">
      <c r="A27" s="18" t="s">
        <v>189</v>
      </c>
      <c r="B27" s="3" t="s">
        <v>550</v>
      </c>
      <c r="C27" s="10">
        <v>578700</v>
      </c>
      <c r="D27" s="19">
        <f>571438.88+6997.69</f>
        <v>578436.56999999995</v>
      </c>
      <c r="E27" s="20" t="s">
        <v>246</v>
      </c>
      <c r="F27" s="20" t="s">
        <v>515</v>
      </c>
      <c r="G27" s="21">
        <v>571438.88</v>
      </c>
      <c r="H27" s="13"/>
      <c r="I27" s="13"/>
      <c r="J27" s="13"/>
    </row>
    <row r="28" spans="1:10" ht="30">
      <c r="A28" s="18" t="s">
        <v>190</v>
      </c>
      <c r="B28" s="8" t="s">
        <v>199</v>
      </c>
      <c r="C28" s="10">
        <v>252860</v>
      </c>
      <c r="D28" s="19">
        <f>245564.24+3047.23</f>
        <v>248611.47</v>
      </c>
      <c r="E28" s="20" t="s">
        <v>273</v>
      </c>
      <c r="F28" s="20" t="s">
        <v>514</v>
      </c>
      <c r="G28" s="21" t="s">
        <v>365</v>
      </c>
      <c r="H28" s="13"/>
      <c r="I28" s="13"/>
      <c r="J28" s="13"/>
    </row>
    <row r="29" spans="1:10" ht="45">
      <c r="A29" s="18" t="s">
        <v>191</v>
      </c>
      <c r="B29" s="111" t="s">
        <v>562</v>
      </c>
      <c r="C29" s="10">
        <v>10000</v>
      </c>
      <c r="D29" s="19">
        <v>9922.5</v>
      </c>
      <c r="E29" s="20" t="s">
        <v>234</v>
      </c>
      <c r="F29" s="20" t="s">
        <v>234</v>
      </c>
      <c r="G29" s="21" t="s">
        <v>367</v>
      </c>
      <c r="H29" s="13"/>
      <c r="I29" s="13"/>
      <c r="J29" s="13"/>
    </row>
    <row r="30" spans="1:10" ht="36.75" customHeight="1">
      <c r="A30" s="18" t="s">
        <v>192</v>
      </c>
      <c r="B30" s="111" t="s">
        <v>563</v>
      </c>
      <c r="C30" s="10">
        <v>13000</v>
      </c>
      <c r="D30" s="19">
        <v>12990</v>
      </c>
      <c r="E30" s="20" t="s">
        <v>234</v>
      </c>
      <c r="F30" s="20" t="s">
        <v>234</v>
      </c>
      <c r="G30" s="21" t="s">
        <v>367</v>
      </c>
      <c r="H30" s="13"/>
      <c r="I30" s="13"/>
      <c r="J30" s="13"/>
    </row>
    <row r="31" spans="1:10" ht="28.5">
      <c r="A31" s="18" t="s">
        <v>193</v>
      </c>
      <c r="B31" s="109" t="s">
        <v>564</v>
      </c>
      <c r="C31" s="10">
        <v>10000</v>
      </c>
      <c r="D31" s="19">
        <v>9720</v>
      </c>
      <c r="E31" s="20" t="s">
        <v>234</v>
      </c>
      <c r="F31" s="20" t="s">
        <v>234</v>
      </c>
      <c r="G31" s="21">
        <v>9720</v>
      </c>
      <c r="H31" s="13"/>
      <c r="I31" s="13"/>
      <c r="J31" s="13"/>
    </row>
    <row r="32" spans="1:10" ht="28.5">
      <c r="A32" s="18" t="s">
        <v>194</v>
      </c>
      <c r="B32" s="109" t="s">
        <v>565</v>
      </c>
      <c r="C32" s="10">
        <v>13000</v>
      </c>
      <c r="D32" s="19">
        <v>12899.25</v>
      </c>
      <c r="E32" s="20" t="s">
        <v>234</v>
      </c>
      <c r="F32" s="20" t="s">
        <v>234</v>
      </c>
      <c r="G32" s="21"/>
      <c r="H32" s="13"/>
      <c r="I32" s="13"/>
      <c r="J32" s="13"/>
    </row>
    <row r="33" spans="1:10" ht="42.75">
      <c r="A33" s="18" t="s">
        <v>195</v>
      </c>
      <c r="B33" s="109" t="s">
        <v>566</v>
      </c>
      <c r="C33" s="10">
        <v>10000</v>
      </c>
      <c r="D33" s="19">
        <v>9720</v>
      </c>
      <c r="E33" s="20" t="s">
        <v>234</v>
      </c>
      <c r="F33" s="20" t="s">
        <v>234</v>
      </c>
      <c r="G33" s="21">
        <v>9720</v>
      </c>
      <c r="H33" s="13"/>
      <c r="I33" s="13"/>
      <c r="J33" s="13"/>
    </row>
    <row r="34" spans="1:10" ht="42.75">
      <c r="A34" s="18" t="s">
        <v>196</v>
      </c>
      <c r="B34" s="109" t="s">
        <v>567</v>
      </c>
      <c r="C34" s="10">
        <v>10000</v>
      </c>
      <c r="D34" s="19">
        <v>9720</v>
      </c>
      <c r="E34" s="20" t="s">
        <v>234</v>
      </c>
      <c r="F34" s="20" t="s">
        <v>234</v>
      </c>
      <c r="G34" s="21">
        <v>9720</v>
      </c>
      <c r="H34" s="13"/>
      <c r="I34" s="13"/>
      <c r="J34" s="13"/>
    </row>
    <row r="35" spans="1:10" ht="42.75">
      <c r="A35" s="18" t="s">
        <v>197</v>
      </c>
      <c r="B35" s="109" t="s">
        <v>568</v>
      </c>
      <c r="C35" s="10">
        <v>10000</v>
      </c>
      <c r="D35" s="19">
        <v>9720</v>
      </c>
      <c r="E35" s="20" t="s">
        <v>234</v>
      </c>
      <c r="F35" s="20" t="s">
        <v>234</v>
      </c>
      <c r="G35" s="21">
        <v>9720</v>
      </c>
      <c r="H35" s="13"/>
      <c r="I35" s="13"/>
      <c r="J35" s="13"/>
    </row>
    <row r="36" spans="1:10" ht="42.75">
      <c r="A36" s="18" t="s">
        <v>198</v>
      </c>
      <c r="B36" s="109" t="s">
        <v>569</v>
      </c>
      <c r="C36" s="10">
        <v>10000</v>
      </c>
      <c r="D36" s="19">
        <v>9986.5499999999993</v>
      </c>
      <c r="E36" s="20" t="s">
        <v>234</v>
      </c>
      <c r="F36" s="20" t="s">
        <v>234</v>
      </c>
      <c r="G36" s="21">
        <v>9986.5499999999993</v>
      </c>
      <c r="H36" s="13"/>
      <c r="I36" s="13"/>
      <c r="J36" s="13"/>
    </row>
    <row r="37" spans="1:10" ht="30">
      <c r="A37" s="18" t="s">
        <v>200</v>
      </c>
      <c r="B37" s="3" t="s">
        <v>202</v>
      </c>
      <c r="C37" s="10">
        <v>660900</v>
      </c>
      <c r="D37" s="19">
        <f>652542.48+8095.79</f>
        <v>660638.27</v>
      </c>
      <c r="E37" s="20" t="s">
        <v>244</v>
      </c>
      <c r="F37" s="20" t="s">
        <v>525</v>
      </c>
      <c r="G37" s="21">
        <v>652542.48</v>
      </c>
      <c r="H37" s="13"/>
      <c r="I37" s="13"/>
      <c r="J37" s="13"/>
    </row>
    <row r="38" spans="1:10" ht="42.75">
      <c r="A38" s="18" t="s">
        <v>201</v>
      </c>
      <c r="B38" s="109" t="s">
        <v>570</v>
      </c>
      <c r="C38" s="10">
        <v>8100</v>
      </c>
      <c r="D38" s="19">
        <v>8100</v>
      </c>
      <c r="E38" s="20" t="s">
        <v>234</v>
      </c>
      <c r="F38" s="20" t="s">
        <v>234</v>
      </c>
      <c r="G38" s="21">
        <v>8100</v>
      </c>
      <c r="H38" s="13"/>
      <c r="I38" s="13"/>
      <c r="J38" s="13"/>
    </row>
    <row r="39" spans="1:10" ht="29.25">
      <c r="A39" s="18" t="s">
        <v>203</v>
      </c>
      <c r="B39" s="110" t="s">
        <v>571</v>
      </c>
      <c r="C39" s="10">
        <v>10000</v>
      </c>
      <c r="D39" s="19">
        <v>9720</v>
      </c>
      <c r="E39" s="20" t="s">
        <v>234</v>
      </c>
      <c r="F39" s="20" t="s">
        <v>234</v>
      </c>
      <c r="G39" s="21">
        <v>9720</v>
      </c>
      <c r="H39" s="13"/>
      <c r="I39" s="13"/>
      <c r="J39" s="13"/>
    </row>
    <row r="40" spans="1:10" ht="42.75">
      <c r="A40" s="18" t="s">
        <v>204</v>
      </c>
      <c r="B40" s="109" t="s">
        <v>572</v>
      </c>
      <c r="C40" s="10">
        <v>10000</v>
      </c>
      <c r="D40" s="19">
        <v>9922.5</v>
      </c>
      <c r="E40" s="20" t="s">
        <v>234</v>
      </c>
      <c r="F40" s="20" t="s">
        <v>234</v>
      </c>
      <c r="G40" s="21">
        <v>9922.5</v>
      </c>
      <c r="H40" s="13"/>
      <c r="I40" s="13"/>
      <c r="J40" s="13"/>
    </row>
    <row r="41" spans="1:10" ht="42.75">
      <c r="A41" s="18" t="s">
        <v>205</v>
      </c>
      <c r="B41" s="109" t="s">
        <v>573</v>
      </c>
      <c r="C41" s="10">
        <v>10000</v>
      </c>
      <c r="D41" s="19">
        <f>9720</f>
        <v>9720</v>
      </c>
      <c r="E41" s="20" t="s">
        <v>234</v>
      </c>
      <c r="F41" s="20" t="s">
        <v>234</v>
      </c>
      <c r="G41" s="21">
        <v>9720</v>
      </c>
      <c r="H41" s="13"/>
      <c r="I41" s="13"/>
      <c r="J41" s="13"/>
    </row>
    <row r="42" spans="1:10" ht="42.75">
      <c r="A42" s="18" t="s">
        <v>206</v>
      </c>
      <c r="B42" s="109" t="s">
        <v>574</v>
      </c>
      <c r="C42" s="10">
        <v>10000</v>
      </c>
      <c r="D42" s="19">
        <v>9720</v>
      </c>
      <c r="E42" s="20" t="s">
        <v>234</v>
      </c>
      <c r="F42" s="20" t="s">
        <v>234</v>
      </c>
      <c r="G42" s="21">
        <v>9720</v>
      </c>
      <c r="H42" s="13"/>
      <c r="I42" s="13"/>
      <c r="J42" s="13"/>
    </row>
    <row r="43" spans="1:10" ht="42.75">
      <c r="A43" s="18" t="s">
        <v>208</v>
      </c>
      <c r="B43" s="109" t="s">
        <v>575</v>
      </c>
      <c r="C43" s="10">
        <v>10000</v>
      </c>
      <c r="D43" s="19">
        <v>9720</v>
      </c>
      <c r="E43" s="20" t="s">
        <v>234</v>
      </c>
      <c r="F43" s="20" t="s">
        <v>234</v>
      </c>
      <c r="G43" s="21">
        <v>9720</v>
      </c>
      <c r="H43" s="13"/>
      <c r="I43" s="13"/>
      <c r="J43" s="13"/>
    </row>
    <row r="44" spans="1:10" ht="42.75">
      <c r="A44" s="18" t="s">
        <v>210</v>
      </c>
      <c r="B44" s="109" t="s">
        <v>576</v>
      </c>
      <c r="C44" s="10">
        <v>5100</v>
      </c>
      <c r="D44" s="19">
        <v>5086.8</v>
      </c>
      <c r="E44" s="20" t="s">
        <v>234</v>
      </c>
      <c r="F44" s="20" t="s">
        <v>234</v>
      </c>
      <c r="G44" s="21">
        <v>5086.8</v>
      </c>
      <c r="H44" s="13"/>
      <c r="I44" s="13"/>
      <c r="J44" s="13"/>
    </row>
    <row r="45" spans="1:10" ht="42.75">
      <c r="A45" s="18" t="s">
        <v>211</v>
      </c>
      <c r="B45" s="109" t="s">
        <v>577</v>
      </c>
      <c r="C45" s="10">
        <v>8100</v>
      </c>
      <c r="D45" s="19">
        <v>8079.75</v>
      </c>
      <c r="E45" s="20" t="s">
        <v>234</v>
      </c>
      <c r="F45" s="20" t="s">
        <v>234</v>
      </c>
      <c r="G45" s="21">
        <v>8079.75</v>
      </c>
      <c r="H45" s="13"/>
      <c r="I45" s="13"/>
      <c r="J45" s="13"/>
    </row>
    <row r="46" spans="1:10" ht="28.5">
      <c r="A46" s="18" t="s">
        <v>212</v>
      </c>
      <c r="B46" s="109" t="s">
        <v>578</v>
      </c>
      <c r="C46" s="10">
        <v>10000</v>
      </c>
      <c r="D46" s="19">
        <v>9922.5</v>
      </c>
      <c r="E46" s="20" t="s">
        <v>234</v>
      </c>
      <c r="F46" s="20" t="s">
        <v>234</v>
      </c>
      <c r="G46" s="21">
        <v>9922.5</v>
      </c>
      <c r="H46" s="13"/>
      <c r="I46" s="13"/>
      <c r="J46" s="13"/>
    </row>
    <row r="47" spans="1:10" ht="30">
      <c r="A47" s="18" t="s">
        <v>213</v>
      </c>
      <c r="B47" s="3" t="s">
        <v>216</v>
      </c>
      <c r="C47" s="10">
        <v>1112400</v>
      </c>
      <c r="D47" s="19">
        <f>1098511.45+13635.3</f>
        <v>1112146.75</v>
      </c>
      <c r="E47" s="20" t="s">
        <v>275</v>
      </c>
      <c r="F47" s="20" t="s">
        <v>360</v>
      </c>
      <c r="G47" s="21">
        <v>1098511.45</v>
      </c>
      <c r="H47" s="13"/>
      <c r="I47" s="13"/>
      <c r="J47" s="13"/>
    </row>
    <row r="48" spans="1:10" ht="45">
      <c r="A48" s="18" t="s">
        <v>214</v>
      </c>
      <c r="B48" s="3" t="s">
        <v>230</v>
      </c>
      <c r="C48" s="10">
        <v>1284000</v>
      </c>
      <c r="D48" s="19">
        <f>1139648.8+14019.44+601.36+50068.04</f>
        <v>1204337.6400000001</v>
      </c>
      <c r="E48" s="20" t="s">
        <v>245</v>
      </c>
      <c r="F48" s="20" t="s">
        <v>513</v>
      </c>
      <c r="G48" s="21" t="s">
        <v>358</v>
      </c>
      <c r="H48" s="13"/>
      <c r="I48" s="13"/>
      <c r="J48" s="13"/>
    </row>
    <row r="49" spans="1:10" ht="57">
      <c r="A49" s="18" t="s">
        <v>217</v>
      </c>
      <c r="B49" s="109" t="s">
        <v>579</v>
      </c>
      <c r="C49" s="10">
        <v>10000</v>
      </c>
      <c r="D49" s="19">
        <v>9922.5</v>
      </c>
      <c r="E49" s="20" t="s">
        <v>234</v>
      </c>
      <c r="F49" s="21" t="s">
        <v>234</v>
      </c>
      <c r="G49" s="21">
        <v>9922.5</v>
      </c>
      <c r="H49" s="13"/>
      <c r="I49" s="13"/>
      <c r="J49" s="13"/>
    </row>
    <row r="50" spans="1:10" ht="28.5">
      <c r="A50" s="137" t="s">
        <v>218</v>
      </c>
      <c r="B50" s="138" t="s">
        <v>580</v>
      </c>
      <c r="C50" s="139">
        <v>0</v>
      </c>
      <c r="D50" s="140" t="s">
        <v>540</v>
      </c>
      <c r="E50" s="141" t="s">
        <v>234</v>
      </c>
      <c r="F50" s="141" t="s">
        <v>540</v>
      </c>
      <c r="G50" s="21"/>
      <c r="H50" s="13"/>
      <c r="I50" s="13"/>
      <c r="J50" s="13"/>
    </row>
    <row r="51" spans="1:10" ht="42.75">
      <c r="A51" s="18" t="s">
        <v>219</v>
      </c>
      <c r="B51" s="109" t="s">
        <v>581</v>
      </c>
      <c r="C51" s="10">
        <v>8100</v>
      </c>
      <c r="D51" s="19">
        <v>8079.75</v>
      </c>
      <c r="E51" s="20" t="s">
        <v>234</v>
      </c>
      <c r="F51" s="20" t="s">
        <v>234</v>
      </c>
      <c r="G51" s="21">
        <v>8079.75</v>
      </c>
      <c r="H51" s="13"/>
      <c r="I51" s="13"/>
      <c r="J51" s="13"/>
    </row>
    <row r="52" spans="1:10" ht="42.75">
      <c r="A52" s="18" t="s">
        <v>220</v>
      </c>
      <c r="B52" s="109" t="s">
        <v>582</v>
      </c>
      <c r="C52" s="10">
        <v>10000</v>
      </c>
      <c r="D52" s="19">
        <v>9720</v>
      </c>
      <c r="E52" s="20" t="s">
        <v>234</v>
      </c>
      <c r="F52" s="20" t="s">
        <v>234</v>
      </c>
      <c r="G52" s="21">
        <v>9720</v>
      </c>
      <c r="H52" s="13"/>
      <c r="I52" s="13"/>
      <c r="J52" s="13"/>
    </row>
    <row r="53" spans="1:10" ht="42.75">
      <c r="A53" s="18" t="s">
        <v>221</v>
      </c>
      <c r="B53" s="109" t="s">
        <v>583</v>
      </c>
      <c r="C53" s="10">
        <v>10000</v>
      </c>
      <c r="D53" s="19">
        <v>9922.5</v>
      </c>
      <c r="E53" s="20" t="s">
        <v>234</v>
      </c>
      <c r="F53" s="20" t="s">
        <v>234</v>
      </c>
      <c r="G53" s="21">
        <v>9922.5</v>
      </c>
      <c r="H53" s="13"/>
      <c r="I53" s="13"/>
      <c r="J53" s="13"/>
    </row>
    <row r="54" spans="1:10" ht="30">
      <c r="A54" s="18" t="s">
        <v>223</v>
      </c>
      <c r="B54" s="3" t="s">
        <v>249</v>
      </c>
      <c r="C54" s="10">
        <v>527200</v>
      </c>
      <c r="D54" s="19">
        <f>520474.74+6459.65</f>
        <v>526934.39</v>
      </c>
      <c r="E54" s="20" t="s">
        <v>274</v>
      </c>
      <c r="F54" s="20" t="s">
        <v>274</v>
      </c>
      <c r="G54" s="21">
        <v>520474.74</v>
      </c>
      <c r="H54" s="13"/>
      <c r="I54" s="13"/>
      <c r="J54" s="13"/>
    </row>
    <row r="55" spans="1:10" ht="57.75">
      <c r="A55" s="18" t="s">
        <v>248</v>
      </c>
      <c r="B55" s="111" t="s">
        <v>584</v>
      </c>
      <c r="C55" s="10">
        <v>10000</v>
      </c>
      <c r="D55" s="19">
        <v>9922.5</v>
      </c>
      <c r="E55" s="20" t="s">
        <v>234</v>
      </c>
      <c r="F55" s="20" t="s">
        <v>234</v>
      </c>
      <c r="G55" s="21">
        <v>9922.5</v>
      </c>
      <c r="H55" s="13"/>
      <c r="I55" s="13"/>
      <c r="J55" s="13"/>
    </row>
    <row r="56" spans="1:10" ht="45">
      <c r="A56" s="18" t="s">
        <v>255</v>
      </c>
      <c r="B56" s="3" t="s">
        <v>254</v>
      </c>
      <c r="C56" s="10">
        <v>648282</v>
      </c>
      <c r="D56" s="19">
        <f>640220.26+7834.82</f>
        <v>648055.07999999996</v>
      </c>
      <c r="E56" s="20" t="s">
        <v>272</v>
      </c>
      <c r="F56" s="20" t="s">
        <v>512</v>
      </c>
      <c r="G56" s="21" t="s">
        <v>365</v>
      </c>
      <c r="H56" s="13"/>
      <c r="I56" s="13"/>
      <c r="J56" s="13"/>
    </row>
    <row r="57" spans="1:10" ht="30">
      <c r="A57" s="18" t="s">
        <v>259</v>
      </c>
      <c r="B57" s="83" t="s">
        <v>256</v>
      </c>
      <c r="C57" s="10">
        <v>309629</v>
      </c>
      <c r="D57" s="19">
        <f>305059.36+3663.42</f>
        <v>308722.77999999997</v>
      </c>
      <c r="E57" s="20" t="s">
        <v>276</v>
      </c>
      <c r="F57" s="20" t="s">
        <v>504</v>
      </c>
      <c r="G57" s="21" t="s">
        <v>365</v>
      </c>
      <c r="H57" s="13"/>
      <c r="I57" s="13"/>
      <c r="J57" s="13"/>
    </row>
    <row r="58" spans="1:10" ht="30">
      <c r="A58" s="18" t="s">
        <v>260</v>
      </c>
      <c r="B58" s="8" t="s">
        <v>585</v>
      </c>
      <c r="C58" s="10">
        <v>737000</v>
      </c>
      <c r="D58" s="19">
        <f>715520.54+9720+8902.78</f>
        <v>734143.32000000007</v>
      </c>
      <c r="E58" s="20" t="s">
        <v>279</v>
      </c>
      <c r="F58" s="20" t="s">
        <v>505</v>
      </c>
      <c r="G58" s="21" t="s">
        <v>366</v>
      </c>
      <c r="H58" s="13"/>
      <c r="I58" s="13"/>
      <c r="J58" s="13"/>
    </row>
    <row r="59" spans="1:10" ht="45">
      <c r="A59" s="18" t="s">
        <v>261</v>
      </c>
      <c r="B59" s="8" t="s">
        <v>257</v>
      </c>
      <c r="C59" s="10">
        <v>457405</v>
      </c>
      <c r="D59" s="19">
        <f>451667.09+5522.29</f>
        <v>457189.38</v>
      </c>
      <c r="E59" s="20" t="s">
        <v>270</v>
      </c>
      <c r="F59" s="20" t="s">
        <v>506</v>
      </c>
      <c r="G59" s="21">
        <f>451680*0.7</f>
        <v>316176</v>
      </c>
      <c r="H59" s="13"/>
      <c r="I59" s="13"/>
      <c r="J59" s="13"/>
    </row>
    <row r="60" spans="1:10" ht="45">
      <c r="A60" s="18" t="s">
        <v>262</v>
      </c>
      <c r="B60" s="8" t="s">
        <v>326</v>
      </c>
      <c r="C60" s="10">
        <v>792830</v>
      </c>
      <c r="D60" s="19">
        <f>742220.87+9097.1</f>
        <v>751317.97</v>
      </c>
      <c r="E60" s="20" t="s">
        <v>277</v>
      </c>
      <c r="F60" s="20" t="s">
        <v>507</v>
      </c>
      <c r="G60" s="21">
        <f>782236*0.9</f>
        <v>704012.4</v>
      </c>
      <c r="H60" s="13"/>
      <c r="I60" s="13"/>
      <c r="J60" s="13"/>
    </row>
    <row r="61" spans="1:10" ht="45">
      <c r="A61" s="18" t="s">
        <v>263</v>
      </c>
      <c r="B61" s="8" t="s">
        <v>325</v>
      </c>
      <c r="C61" s="10">
        <v>513097</v>
      </c>
      <c r="D61" s="19">
        <f>328856.1+30000+4389.34+138767.27+1682.29</f>
        <v>503694.99999999994</v>
      </c>
      <c r="E61" s="20" t="s">
        <v>268</v>
      </c>
      <c r="F61" s="20" t="s">
        <v>508</v>
      </c>
      <c r="G61" s="21">
        <f>497635*0.9</f>
        <v>447871.5</v>
      </c>
      <c r="H61" s="13"/>
      <c r="I61" s="13"/>
      <c r="J61" s="13"/>
    </row>
    <row r="62" spans="1:10" ht="45">
      <c r="A62" s="18" t="s">
        <v>264</v>
      </c>
      <c r="B62" s="83" t="s">
        <v>324</v>
      </c>
      <c r="C62" s="10">
        <v>589770</v>
      </c>
      <c r="D62" s="19">
        <f>581880.53+6484.79+649.99</f>
        <v>589015.31000000006</v>
      </c>
      <c r="E62" s="20" t="s">
        <v>269</v>
      </c>
      <c r="F62" s="20" t="s">
        <v>509</v>
      </c>
      <c r="G62" s="21">
        <f>582111*0.7</f>
        <v>407477.69999999995</v>
      </c>
      <c r="H62" s="13"/>
      <c r="I62" s="13"/>
      <c r="J62" s="13"/>
    </row>
    <row r="63" spans="1:10" ht="45">
      <c r="A63" s="18" t="s">
        <v>265</v>
      </c>
      <c r="B63" s="8" t="s">
        <v>586</v>
      </c>
      <c r="C63" s="10">
        <v>1442000</v>
      </c>
      <c r="D63" s="19">
        <f>1373550.79+17042.06+9720+506.39+40814.03</f>
        <v>1441633.27</v>
      </c>
      <c r="E63" s="20" t="s">
        <v>278</v>
      </c>
      <c r="F63" s="20" t="s">
        <v>510</v>
      </c>
      <c r="G63" s="21" t="s">
        <v>366</v>
      </c>
      <c r="H63" s="13"/>
      <c r="I63" s="13"/>
      <c r="J63" s="13"/>
    </row>
    <row r="64" spans="1:10" ht="30">
      <c r="A64" s="18" t="s">
        <v>266</v>
      </c>
      <c r="B64" s="83" t="s">
        <v>258</v>
      </c>
      <c r="C64" s="10">
        <v>2030677</v>
      </c>
      <c r="D64" s="19">
        <f>1474475.36+17980.1+509487.59+5882.7</f>
        <v>2007825.7500000002</v>
      </c>
      <c r="E64" s="20" t="s">
        <v>271</v>
      </c>
      <c r="F64" s="20" t="s">
        <v>511</v>
      </c>
      <c r="G64" s="21">
        <f>198396.06*0.9</f>
        <v>178556.454</v>
      </c>
      <c r="H64" s="13"/>
      <c r="I64" s="13"/>
      <c r="J64" s="13"/>
    </row>
    <row r="65" spans="1:10" ht="43.5">
      <c r="A65" s="18" t="s">
        <v>267</v>
      </c>
      <c r="B65" s="111" t="s">
        <v>587</v>
      </c>
      <c r="C65" s="10">
        <v>10000</v>
      </c>
      <c r="D65" s="19">
        <v>9720</v>
      </c>
      <c r="E65" s="20" t="s">
        <v>234</v>
      </c>
      <c r="F65" s="20" t="s">
        <v>234</v>
      </c>
      <c r="G65" s="21">
        <v>9720</v>
      </c>
      <c r="H65" s="13"/>
      <c r="I65" s="1"/>
      <c r="J65" s="13"/>
    </row>
    <row r="66" spans="1:10" ht="43.5">
      <c r="A66" s="18" t="s">
        <v>338</v>
      </c>
      <c r="B66" s="111" t="s">
        <v>588</v>
      </c>
      <c r="C66" s="10">
        <v>10000</v>
      </c>
      <c r="D66" s="19">
        <v>9720</v>
      </c>
      <c r="E66" s="20" t="s">
        <v>234</v>
      </c>
      <c r="F66" s="20" t="s">
        <v>234</v>
      </c>
      <c r="G66" s="21">
        <v>9720</v>
      </c>
      <c r="H66" s="13"/>
      <c r="I66" s="1"/>
      <c r="J66" s="13"/>
    </row>
    <row r="67" spans="1:10" ht="43.5">
      <c r="A67" s="18" t="s">
        <v>339</v>
      </c>
      <c r="B67" s="111" t="s">
        <v>589</v>
      </c>
      <c r="C67" s="10">
        <v>10000</v>
      </c>
      <c r="D67" s="19">
        <v>9720</v>
      </c>
      <c r="E67" s="20" t="s">
        <v>234</v>
      </c>
      <c r="F67" s="20" t="s">
        <v>234</v>
      </c>
      <c r="G67" s="21">
        <v>9720</v>
      </c>
      <c r="H67" s="13"/>
      <c r="I67" s="1"/>
      <c r="J67" s="13"/>
    </row>
    <row r="68" spans="1:10" ht="43.5">
      <c r="A68" s="18" t="s">
        <v>340</v>
      </c>
      <c r="B68" s="111" t="s">
        <v>590</v>
      </c>
      <c r="C68" s="10">
        <v>10000</v>
      </c>
      <c r="D68" s="19">
        <v>9720</v>
      </c>
      <c r="E68" s="20" t="s">
        <v>234</v>
      </c>
      <c r="F68" s="20" t="s">
        <v>234</v>
      </c>
      <c r="G68" s="21"/>
      <c r="H68" s="13"/>
      <c r="I68" s="1"/>
      <c r="J68" s="13"/>
    </row>
    <row r="69" spans="1:10" ht="43.5">
      <c r="A69" s="18" t="s">
        <v>341</v>
      </c>
      <c r="B69" s="111" t="s">
        <v>591</v>
      </c>
      <c r="C69" s="10">
        <v>10000</v>
      </c>
      <c r="D69" s="19">
        <v>9922.5</v>
      </c>
      <c r="E69" s="20" t="s">
        <v>234</v>
      </c>
      <c r="F69" s="20" t="s">
        <v>234</v>
      </c>
      <c r="G69" s="21">
        <v>9922.5</v>
      </c>
      <c r="H69" s="13"/>
      <c r="I69" s="1"/>
      <c r="J69" s="13"/>
    </row>
    <row r="70" spans="1:10" ht="57.75">
      <c r="A70" s="18" t="s">
        <v>342</v>
      </c>
      <c r="B70" s="111" t="s">
        <v>592</v>
      </c>
      <c r="C70" s="10">
        <v>10000</v>
      </c>
      <c r="D70" s="19">
        <v>8079.75</v>
      </c>
      <c r="E70" s="20" t="s">
        <v>234</v>
      </c>
      <c r="F70" s="20" t="s">
        <v>234</v>
      </c>
      <c r="G70" s="21">
        <v>8079.75</v>
      </c>
      <c r="H70" s="13"/>
      <c r="I70" s="1"/>
      <c r="J70" s="13"/>
    </row>
    <row r="71" spans="1:10" ht="43.5">
      <c r="A71" s="18" t="s">
        <v>343</v>
      </c>
      <c r="B71" s="111" t="s">
        <v>593</v>
      </c>
      <c r="C71" s="10">
        <v>10000</v>
      </c>
      <c r="D71" s="19">
        <v>9922.5</v>
      </c>
      <c r="E71" s="20" t="s">
        <v>234</v>
      </c>
      <c r="F71" s="20" t="s">
        <v>234</v>
      </c>
      <c r="G71" s="21"/>
      <c r="H71" s="13"/>
      <c r="I71" s="1"/>
      <c r="J71" s="13"/>
    </row>
    <row r="72" spans="1:10" ht="43.5">
      <c r="A72" s="18" t="s">
        <v>353</v>
      </c>
      <c r="B72" s="111" t="s">
        <v>594</v>
      </c>
      <c r="C72" s="10">
        <v>10000</v>
      </c>
      <c r="D72" s="19">
        <v>9922.5</v>
      </c>
      <c r="E72" s="20" t="s">
        <v>234</v>
      </c>
      <c r="F72" s="20" t="s">
        <v>234</v>
      </c>
      <c r="G72" s="21"/>
      <c r="H72" s="13"/>
      <c r="I72" s="1"/>
      <c r="J72" s="13"/>
    </row>
    <row r="73" spans="1:10" ht="43.5">
      <c r="A73" s="23" t="s">
        <v>354</v>
      </c>
      <c r="B73" s="111" t="s">
        <v>595</v>
      </c>
      <c r="C73" s="24">
        <v>10000</v>
      </c>
      <c r="D73" s="19">
        <v>9922.5</v>
      </c>
      <c r="E73" s="20" t="s">
        <v>234</v>
      </c>
      <c r="F73" s="20" t="s">
        <v>234</v>
      </c>
      <c r="G73" s="21"/>
      <c r="H73" s="13"/>
      <c r="I73" s="1"/>
      <c r="J73" s="13"/>
    </row>
    <row r="74" spans="1:10" ht="42.75">
      <c r="A74" s="25" t="s">
        <v>355</v>
      </c>
      <c r="B74" s="112" t="s">
        <v>596</v>
      </c>
      <c r="C74" s="11">
        <v>10000</v>
      </c>
      <c r="D74" s="19">
        <v>9922.5</v>
      </c>
      <c r="E74" s="26" t="s">
        <v>234</v>
      </c>
      <c r="F74" s="20" t="s">
        <v>234</v>
      </c>
      <c r="G74" s="27"/>
      <c r="H74" s="13"/>
      <c r="I74" s="1"/>
      <c r="J74" s="13"/>
    </row>
    <row r="75" spans="1:10" ht="30">
      <c r="A75" s="77" t="s">
        <v>391</v>
      </c>
      <c r="B75" s="8" t="s">
        <v>392</v>
      </c>
      <c r="C75" s="11">
        <v>3365000</v>
      </c>
      <c r="D75" s="19">
        <f>3301443.1+41077</f>
        <v>3342520.1</v>
      </c>
      <c r="E75" s="76" t="s">
        <v>393</v>
      </c>
      <c r="F75" s="26" t="s">
        <v>526</v>
      </c>
      <c r="G75" s="27"/>
      <c r="H75" s="13"/>
      <c r="I75" s="1"/>
      <c r="J75" s="13"/>
    </row>
    <row r="76" spans="1:10" ht="47.25">
      <c r="A76" s="77" t="s">
        <v>394</v>
      </c>
      <c r="B76" s="107" t="s">
        <v>395</v>
      </c>
      <c r="C76" s="11">
        <v>275000</v>
      </c>
      <c r="D76" s="19">
        <f>3174.21+257611.31</f>
        <v>260785.52</v>
      </c>
      <c r="E76" s="76" t="s">
        <v>396</v>
      </c>
      <c r="F76" s="26" t="s">
        <v>527</v>
      </c>
      <c r="G76" s="27"/>
      <c r="H76" s="13"/>
      <c r="I76" s="1"/>
      <c r="J76" s="13"/>
    </row>
    <row r="77" spans="1:10" ht="47.25">
      <c r="A77" s="77" t="s">
        <v>397</v>
      </c>
      <c r="B77" s="107" t="s">
        <v>398</v>
      </c>
      <c r="C77" s="11">
        <v>1950000</v>
      </c>
      <c r="D77" s="19">
        <f>13082.63+1059364.48</f>
        <v>1072447.1099999999</v>
      </c>
      <c r="E77" s="76" t="s">
        <v>399</v>
      </c>
      <c r="F77" s="26" t="s">
        <v>528</v>
      </c>
      <c r="G77" s="27"/>
      <c r="H77" s="13"/>
      <c r="I77" s="1"/>
      <c r="J77" s="13"/>
    </row>
    <row r="78" spans="1:10" ht="31.5">
      <c r="A78" s="77" t="s">
        <v>400</v>
      </c>
      <c r="B78" s="107" t="s">
        <v>401</v>
      </c>
      <c r="C78" s="11">
        <v>250000</v>
      </c>
      <c r="D78" s="19">
        <f>2949.36+236815.66</f>
        <v>239765.02</v>
      </c>
      <c r="E78" s="76" t="s">
        <v>402</v>
      </c>
      <c r="F78" s="26" t="s">
        <v>529</v>
      </c>
      <c r="G78" s="27"/>
      <c r="H78" s="13"/>
      <c r="I78" s="1"/>
      <c r="J78" s="13"/>
    </row>
    <row r="79" spans="1:10" ht="45.75">
      <c r="A79" s="77" t="s">
        <v>403</v>
      </c>
      <c r="B79" s="8" t="s">
        <v>404</v>
      </c>
      <c r="C79" s="11">
        <v>170000</v>
      </c>
      <c r="D79" s="19">
        <f>148488.12+1822.23+4252.5</f>
        <v>154562.85</v>
      </c>
      <c r="E79" s="76" t="s">
        <v>405</v>
      </c>
      <c r="F79" s="26" t="s">
        <v>530</v>
      </c>
      <c r="G79" s="27"/>
      <c r="H79" s="13"/>
      <c r="I79" s="1"/>
      <c r="J79" s="13"/>
    </row>
    <row r="80" spans="1:10" ht="30">
      <c r="A80" s="77" t="s">
        <v>406</v>
      </c>
      <c r="B80" s="8" t="s">
        <v>407</v>
      </c>
      <c r="C80" s="11">
        <v>1490000</v>
      </c>
      <c r="D80" s="19">
        <f>18271.03+1466504.8</f>
        <v>1484775.83</v>
      </c>
      <c r="E80" s="76" t="s">
        <v>408</v>
      </c>
      <c r="F80" s="26" t="s">
        <v>531</v>
      </c>
      <c r="G80" s="27"/>
      <c r="H80" s="13"/>
      <c r="I80" s="1"/>
      <c r="J80" s="13"/>
    </row>
    <row r="81" spans="1:10" ht="31.5">
      <c r="A81" s="77" t="s">
        <v>409</v>
      </c>
      <c r="B81" s="107" t="s">
        <v>410</v>
      </c>
      <c r="C81" s="11">
        <v>3080000</v>
      </c>
      <c r="D81" s="19">
        <f>30371.67+2465279.94</f>
        <v>2495651.61</v>
      </c>
      <c r="E81" s="76" t="s">
        <v>411</v>
      </c>
      <c r="F81" s="26" t="s">
        <v>532</v>
      </c>
      <c r="G81" s="27"/>
      <c r="H81" s="13"/>
      <c r="I81" s="1"/>
      <c r="J81" s="13"/>
    </row>
    <row r="82" spans="1:10" ht="47.25">
      <c r="A82" s="77" t="s">
        <v>452</v>
      </c>
      <c r="B82" s="113" t="s">
        <v>597</v>
      </c>
      <c r="C82" s="87">
        <v>10000</v>
      </c>
      <c r="D82" s="35">
        <v>9922.5</v>
      </c>
      <c r="E82" s="76" t="s">
        <v>234</v>
      </c>
      <c r="F82" s="76" t="s">
        <v>234</v>
      </c>
      <c r="G82" s="27"/>
      <c r="H82" s="13"/>
      <c r="I82" s="1"/>
      <c r="J82" s="13"/>
    </row>
    <row r="83" spans="1:10" ht="47.25">
      <c r="A83" s="77" t="s">
        <v>453</v>
      </c>
      <c r="B83" s="113" t="s">
        <v>598</v>
      </c>
      <c r="C83" s="87">
        <v>10000</v>
      </c>
      <c r="D83" s="35">
        <v>9922.5</v>
      </c>
      <c r="E83" s="76" t="s">
        <v>234</v>
      </c>
      <c r="F83" s="76" t="s">
        <v>234</v>
      </c>
      <c r="G83" s="27"/>
      <c r="H83" s="13"/>
      <c r="I83" s="1"/>
      <c r="J83" s="13"/>
    </row>
    <row r="84" spans="1:10" ht="47.25">
      <c r="A84" s="77" t="s">
        <v>454</v>
      </c>
      <c r="B84" s="113" t="s">
        <v>599</v>
      </c>
      <c r="C84" s="87">
        <v>10000</v>
      </c>
      <c r="D84" s="35">
        <v>9922.5</v>
      </c>
      <c r="E84" s="76" t="s">
        <v>234</v>
      </c>
      <c r="F84" s="76" t="s">
        <v>234</v>
      </c>
      <c r="G84" s="27"/>
      <c r="H84" s="13"/>
      <c r="I84" s="1"/>
      <c r="J84" s="13"/>
    </row>
    <row r="85" spans="1:10" ht="51.75" customHeight="1">
      <c r="A85" s="77" t="s">
        <v>455</v>
      </c>
      <c r="B85" s="113" t="s">
        <v>600</v>
      </c>
      <c r="C85" s="87">
        <v>10000</v>
      </c>
      <c r="D85" s="35">
        <v>9922.5</v>
      </c>
      <c r="E85" s="76" t="s">
        <v>234</v>
      </c>
      <c r="F85" s="76" t="s">
        <v>234</v>
      </c>
      <c r="G85" s="27"/>
      <c r="H85" s="13"/>
      <c r="I85" s="1"/>
      <c r="J85" s="13"/>
    </row>
    <row r="86" spans="1:10" ht="31.5">
      <c r="A86" s="77" t="s">
        <v>456</v>
      </c>
      <c r="B86" s="113" t="s">
        <v>601</v>
      </c>
      <c r="C86" s="87">
        <v>10000</v>
      </c>
      <c r="D86" s="35">
        <v>9922.5</v>
      </c>
      <c r="E86" s="76" t="s">
        <v>234</v>
      </c>
      <c r="F86" s="76" t="s">
        <v>234</v>
      </c>
      <c r="G86" s="27"/>
      <c r="H86" s="13"/>
      <c r="I86" s="1"/>
      <c r="J86" s="13"/>
    </row>
    <row r="87" spans="1:10" ht="47.25">
      <c r="A87" s="77" t="s">
        <v>457</v>
      </c>
      <c r="B87" s="113" t="s">
        <v>602</v>
      </c>
      <c r="C87" s="87">
        <v>10000</v>
      </c>
      <c r="D87" s="35">
        <v>9922.5</v>
      </c>
      <c r="E87" s="76" t="s">
        <v>234</v>
      </c>
      <c r="F87" s="76" t="s">
        <v>234</v>
      </c>
      <c r="G87" s="27"/>
      <c r="H87" s="13"/>
      <c r="I87" s="1"/>
      <c r="J87" s="13"/>
    </row>
    <row r="88" spans="1:10" ht="47.25">
      <c r="A88" s="77" t="s">
        <v>458</v>
      </c>
      <c r="B88" s="113" t="s">
        <v>459</v>
      </c>
      <c r="C88" s="87">
        <v>10000</v>
      </c>
      <c r="D88" s="35">
        <v>9922.5</v>
      </c>
      <c r="E88" s="76" t="s">
        <v>234</v>
      </c>
      <c r="F88" s="76" t="s">
        <v>234</v>
      </c>
      <c r="G88" s="27"/>
      <c r="H88" s="13"/>
      <c r="I88" s="1"/>
      <c r="J88" s="13"/>
    </row>
    <row r="89" spans="1:10" ht="63">
      <c r="A89" s="77" t="s">
        <v>460</v>
      </c>
      <c r="B89" s="113" t="s">
        <v>461</v>
      </c>
      <c r="C89" s="87">
        <v>13000</v>
      </c>
      <c r="D89" s="35">
        <v>12899.25</v>
      </c>
      <c r="E89" s="76" t="s">
        <v>234</v>
      </c>
      <c r="F89" s="76" t="s">
        <v>234</v>
      </c>
      <c r="G89" s="27"/>
      <c r="H89" s="13"/>
      <c r="I89" s="1"/>
      <c r="J89" s="13"/>
    </row>
    <row r="90" spans="1:10" ht="47.25">
      <c r="A90" s="77" t="s">
        <v>462</v>
      </c>
      <c r="B90" s="113" t="s">
        <v>463</v>
      </c>
      <c r="C90" s="87">
        <v>12000</v>
      </c>
      <c r="D90" s="35">
        <v>11907</v>
      </c>
      <c r="E90" s="76" t="s">
        <v>234</v>
      </c>
      <c r="F90" s="76" t="s">
        <v>234</v>
      </c>
      <c r="G90" s="27"/>
      <c r="H90" s="13"/>
      <c r="I90" s="1"/>
      <c r="J90" s="13"/>
    </row>
    <row r="91" spans="1:10" ht="47.25">
      <c r="A91" s="77" t="s">
        <v>464</v>
      </c>
      <c r="B91" s="113" t="s">
        <v>465</v>
      </c>
      <c r="C91" s="87">
        <v>10000</v>
      </c>
      <c r="D91" s="27">
        <v>9922.5</v>
      </c>
      <c r="E91" s="76" t="s">
        <v>234</v>
      </c>
      <c r="F91" s="76" t="s">
        <v>234</v>
      </c>
      <c r="G91" s="27"/>
      <c r="H91" s="13"/>
      <c r="I91" s="1"/>
      <c r="J91" s="13"/>
    </row>
    <row r="92" spans="1:10" ht="47.25">
      <c r="A92" s="77" t="s">
        <v>466</v>
      </c>
      <c r="B92" s="113" t="s">
        <v>467</v>
      </c>
      <c r="C92" s="87">
        <v>46000</v>
      </c>
      <c r="D92" s="35">
        <v>45990</v>
      </c>
      <c r="E92" s="76" t="s">
        <v>234</v>
      </c>
      <c r="F92" s="76" t="s">
        <v>234</v>
      </c>
      <c r="G92" s="27"/>
      <c r="H92" s="13"/>
      <c r="I92" s="1"/>
      <c r="J92" s="13"/>
    </row>
    <row r="93" spans="1:10" ht="47.25">
      <c r="A93" s="77" t="s">
        <v>468</v>
      </c>
      <c r="B93" s="113" t="s">
        <v>469</v>
      </c>
      <c r="C93" s="87">
        <v>10000</v>
      </c>
      <c r="D93" s="35">
        <v>9922.5</v>
      </c>
      <c r="E93" s="76" t="s">
        <v>234</v>
      </c>
      <c r="F93" s="76" t="s">
        <v>234</v>
      </c>
      <c r="G93" s="27"/>
      <c r="H93" s="13"/>
      <c r="I93" s="1"/>
      <c r="J93" s="13"/>
    </row>
    <row r="94" spans="1:10" ht="47.25">
      <c r="A94" s="77" t="s">
        <v>470</v>
      </c>
      <c r="B94" s="113" t="s">
        <v>471</v>
      </c>
      <c r="C94" s="87">
        <v>10000</v>
      </c>
      <c r="D94" s="35">
        <v>9922.5</v>
      </c>
      <c r="E94" s="76" t="s">
        <v>234</v>
      </c>
      <c r="F94" s="76" t="s">
        <v>234</v>
      </c>
      <c r="G94" s="27"/>
      <c r="H94" s="13"/>
      <c r="I94" s="1"/>
      <c r="J94" s="13"/>
    </row>
    <row r="95" spans="1:10" ht="31.5">
      <c r="A95" s="77" t="s">
        <v>473</v>
      </c>
      <c r="B95" s="114" t="s">
        <v>603</v>
      </c>
      <c r="C95" s="87">
        <v>70000</v>
      </c>
      <c r="D95" s="35">
        <f>67377.01+820.8</f>
        <v>68197.81</v>
      </c>
      <c r="E95" s="76" t="s">
        <v>475</v>
      </c>
      <c r="F95" s="26" t="s">
        <v>533</v>
      </c>
      <c r="G95" s="27"/>
      <c r="H95" s="13"/>
      <c r="I95" s="1"/>
      <c r="J95" s="13"/>
    </row>
    <row r="96" spans="1:10" ht="31.5">
      <c r="A96" s="77" t="s">
        <v>474</v>
      </c>
      <c r="B96" s="114" t="s">
        <v>604</v>
      </c>
      <c r="C96" s="87">
        <v>49000</v>
      </c>
      <c r="D96" s="35">
        <f>1417.5+36832.26+457.74</f>
        <v>38707.5</v>
      </c>
      <c r="E96" s="76" t="s">
        <v>476</v>
      </c>
      <c r="F96" s="26" t="s">
        <v>534</v>
      </c>
      <c r="G96" s="27"/>
      <c r="H96" s="13"/>
      <c r="I96" s="1"/>
      <c r="J96" s="13"/>
    </row>
    <row r="97" spans="1:10" ht="18.95" customHeight="1">
      <c r="A97" s="28"/>
      <c r="B97" s="29" t="s">
        <v>228</v>
      </c>
      <c r="C97" s="30">
        <f>SUM(C5:C96)</f>
        <v>44048400</v>
      </c>
      <c r="D97" s="30">
        <f>SUM(D5:D96)</f>
        <v>42009811.220000006</v>
      </c>
      <c r="E97" s="125"/>
      <c r="F97" s="31"/>
      <c r="G97" s="30">
        <f>SUM(G5:G74)</f>
        <v>22407355.213999998</v>
      </c>
      <c r="H97" s="13"/>
      <c r="I97" s="13"/>
      <c r="J97" s="13"/>
    </row>
    <row r="98" spans="1:10" ht="21.75" customHeight="1">
      <c r="A98" s="151" t="s">
        <v>5</v>
      </c>
      <c r="B98" s="152"/>
      <c r="C98" s="152"/>
      <c r="D98" s="152"/>
      <c r="E98" s="152"/>
      <c r="F98" s="152"/>
      <c r="G98" s="153"/>
      <c r="H98" s="13"/>
      <c r="I98" s="13"/>
      <c r="J98" s="13"/>
    </row>
    <row r="99" spans="1:10" ht="27" customHeight="1">
      <c r="A99" s="32" t="s">
        <v>6</v>
      </c>
      <c r="B99" s="20" t="s">
        <v>7</v>
      </c>
      <c r="C99" s="34">
        <v>49000</v>
      </c>
      <c r="D99" s="19">
        <f>46925.63+587</f>
        <v>47512.63</v>
      </c>
      <c r="E99" s="33">
        <v>60</v>
      </c>
      <c r="F99" s="33">
        <f>(0.584+0.15)*100</f>
        <v>73.400000000000006</v>
      </c>
      <c r="G99" s="34">
        <v>46925.63</v>
      </c>
      <c r="I99" s="148"/>
    </row>
    <row r="100" spans="1:10">
      <c r="A100" s="32" t="s">
        <v>8</v>
      </c>
      <c r="B100" s="20" t="s">
        <v>376</v>
      </c>
      <c r="C100" s="34">
        <v>49000</v>
      </c>
      <c r="D100" s="34">
        <f>47031.58+587</f>
        <v>47618.58</v>
      </c>
      <c r="E100" s="33">
        <v>60</v>
      </c>
      <c r="F100" s="33">
        <f>(0.584+0.1515)*100</f>
        <v>73.55</v>
      </c>
      <c r="G100" s="34">
        <f>D100</f>
        <v>47618.58</v>
      </c>
      <c r="I100" s="148"/>
    </row>
    <row r="101" spans="1:10" ht="30">
      <c r="A101" s="32" t="s">
        <v>9</v>
      </c>
      <c r="B101" s="20" t="s">
        <v>377</v>
      </c>
      <c r="C101" s="34">
        <v>49000</v>
      </c>
      <c r="D101" s="19">
        <f>587+48258.83</f>
        <v>48845.83</v>
      </c>
      <c r="E101" s="33">
        <v>60</v>
      </c>
      <c r="F101" s="20">
        <f>25.2+47.77</f>
        <v>72.97</v>
      </c>
      <c r="G101" s="34">
        <f>D101</f>
        <v>48845.83</v>
      </c>
      <c r="I101" s="148"/>
    </row>
    <row r="102" spans="1:10" ht="30">
      <c r="A102" s="32" t="s">
        <v>10</v>
      </c>
      <c r="B102" s="20" t="s">
        <v>378</v>
      </c>
      <c r="C102" s="34">
        <v>49000</v>
      </c>
      <c r="D102" s="35">
        <f>47094.89+587</f>
        <v>47681.89</v>
      </c>
      <c r="E102" s="33">
        <v>60</v>
      </c>
      <c r="F102" s="20">
        <v>73.900000000000006</v>
      </c>
      <c r="G102" s="21">
        <v>47681.89</v>
      </c>
      <c r="I102" s="148"/>
    </row>
    <row r="103" spans="1:10" ht="30">
      <c r="A103" s="32" t="s">
        <v>11</v>
      </c>
      <c r="B103" s="20" t="s">
        <v>379</v>
      </c>
      <c r="C103" s="34">
        <v>49000</v>
      </c>
      <c r="D103" s="19">
        <f>47887.39+587</f>
        <v>48474.39</v>
      </c>
      <c r="E103" s="33">
        <v>60</v>
      </c>
      <c r="F103" s="33">
        <f>60.76+10.92</f>
        <v>71.679999999999993</v>
      </c>
      <c r="G103" s="34" t="s">
        <v>358</v>
      </c>
      <c r="I103" s="148"/>
    </row>
    <row r="104" spans="1:10" ht="30">
      <c r="A104" s="32" t="s">
        <v>12</v>
      </c>
      <c r="B104" s="20" t="s">
        <v>13</v>
      </c>
      <c r="C104" s="34">
        <v>49000</v>
      </c>
      <c r="D104" s="19">
        <f>47092.11+587</f>
        <v>47679.11</v>
      </c>
      <c r="E104" s="33">
        <v>60</v>
      </c>
      <c r="F104" s="33">
        <v>69.599999999999994</v>
      </c>
      <c r="G104" s="34">
        <f>D104</f>
        <v>47679.11</v>
      </c>
      <c r="I104" s="148"/>
    </row>
    <row r="105" spans="1:10" ht="30">
      <c r="A105" s="32" t="s">
        <v>14</v>
      </c>
      <c r="B105" s="20" t="s">
        <v>15</v>
      </c>
      <c r="C105" s="34">
        <v>49000</v>
      </c>
      <c r="D105" s="19">
        <f>48231.92+585.12</f>
        <v>48817.04</v>
      </c>
      <c r="E105" s="33">
        <v>60</v>
      </c>
      <c r="F105" s="33">
        <f>(0.2337+0.5033)*100</f>
        <v>73.7</v>
      </c>
      <c r="G105" s="34">
        <f>D105</f>
        <v>48817.04</v>
      </c>
      <c r="I105" s="148"/>
    </row>
    <row r="106" spans="1:10" ht="30">
      <c r="A106" s="32" t="s">
        <v>16</v>
      </c>
      <c r="B106" s="20" t="s">
        <v>17</v>
      </c>
      <c r="C106" s="34">
        <v>49000</v>
      </c>
      <c r="D106" s="19">
        <f>47226.73+587</f>
        <v>47813.73</v>
      </c>
      <c r="E106" s="33">
        <v>60</v>
      </c>
      <c r="F106" s="33">
        <f>(0.362+0.37)*100</f>
        <v>73.2</v>
      </c>
      <c r="G106" s="34">
        <f>D106</f>
        <v>47813.73</v>
      </c>
      <c r="I106" s="148"/>
    </row>
    <row r="107" spans="1:10" ht="30">
      <c r="A107" s="32" t="s">
        <v>18</v>
      </c>
      <c r="B107" s="20" t="s">
        <v>364</v>
      </c>
      <c r="C107" s="34">
        <v>49000</v>
      </c>
      <c r="D107" s="35">
        <f>583.18+48265.45</f>
        <v>48848.63</v>
      </c>
      <c r="E107" s="33">
        <v>60</v>
      </c>
      <c r="F107" s="33">
        <v>68.650000000000006</v>
      </c>
      <c r="G107" s="34">
        <f>D107</f>
        <v>48848.63</v>
      </c>
      <c r="I107" s="148"/>
    </row>
    <row r="108" spans="1:10">
      <c r="A108" s="32" t="s">
        <v>19</v>
      </c>
      <c r="B108" s="20" t="s">
        <v>159</v>
      </c>
      <c r="C108" s="34">
        <v>49000</v>
      </c>
      <c r="D108" s="19">
        <f>47191.13+587</f>
        <v>47778.13</v>
      </c>
      <c r="E108" s="33">
        <v>60</v>
      </c>
      <c r="F108" s="33">
        <f>25+13+48.3</f>
        <v>86.3</v>
      </c>
      <c r="G108" s="21">
        <v>47211.81</v>
      </c>
      <c r="I108" s="148"/>
    </row>
    <row r="109" spans="1:10" ht="30">
      <c r="A109" s="32" t="s">
        <v>20</v>
      </c>
      <c r="B109" s="20" t="s">
        <v>21</v>
      </c>
      <c r="C109" s="34">
        <v>49000</v>
      </c>
      <c r="D109" s="34">
        <f>47229.66+587</f>
        <v>47816.66</v>
      </c>
      <c r="E109" s="33">
        <v>60</v>
      </c>
      <c r="F109" s="33">
        <f>(0.3185+0.445)*100</f>
        <v>76.350000000000009</v>
      </c>
      <c r="G109" s="34">
        <f>D109</f>
        <v>47816.66</v>
      </c>
      <c r="I109" s="148"/>
    </row>
    <row r="110" spans="1:10" ht="30">
      <c r="A110" s="32" t="s">
        <v>22</v>
      </c>
      <c r="B110" s="20" t="s">
        <v>23</v>
      </c>
      <c r="C110" s="34">
        <v>49000</v>
      </c>
      <c r="D110" s="19">
        <f>47224.81+587</f>
        <v>47811.81</v>
      </c>
      <c r="E110" s="33">
        <v>60</v>
      </c>
      <c r="F110" s="33">
        <f>(0.5492+0.1926)*100</f>
        <v>74.180000000000007</v>
      </c>
      <c r="G110" s="34">
        <f>D110</f>
        <v>47811.81</v>
      </c>
      <c r="I110" s="148"/>
    </row>
    <row r="111" spans="1:10" ht="30">
      <c r="A111" s="32" t="s">
        <v>24</v>
      </c>
      <c r="B111" s="20" t="s">
        <v>25</v>
      </c>
      <c r="C111" s="34">
        <v>49000</v>
      </c>
      <c r="D111" s="34">
        <f>47194.62+587</f>
        <v>47781.62</v>
      </c>
      <c r="E111" s="33">
        <v>60</v>
      </c>
      <c r="F111" s="33">
        <f>(0.1895+0.5855)*100</f>
        <v>77.5</v>
      </c>
      <c r="G111" s="34">
        <f>D111</f>
        <v>47781.62</v>
      </c>
      <c r="I111" s="148"/>
    </row>
    <row r="112" spans="1:10" ht="30">
      <c r="A112" s="32" t="s">
        <v>26</v>
      </c>
      <c r="B112" s="20" t="s">
        <v>163</v>
      </c>
      <c r="C112" s="34">
        <v>49000</v>
      </c>
      <c r="D112" s="19">
        <f>2430+42249.07+515.35</f>
        <v>45194.42</v>
      </c>
      <c r="E112" s="33">
        <v>60</v>
      </c>
      <c r="F112" s="33">
        <f>10+33.5+27.5</f>
        <v>71</v>
      </c>
      <c r="G112" s="34"/>
      <c r="I112" s="148"/>
    </row>
    <row r="113" spans="1:9" ht="30">
      <c r="A113" s="32" t="s">
        <v>27</v>
      </c>
      <c r="B113" s="20" t="s">
        <v>28</v>
      </c>
      <c r="C113" s="34">
        <v>49000</v>
      </c>
      <c r="D113" s="19">
        <f>47212.92+587</f>
        <v>47799.92</v>
      </c>
      <c r="E113" s="33">
        <v>60</v>
      </c>
      <c r="F113" s="33">
        <v>71</v>
      </c>
      <c r="G113" s="34">
        <f>D113</f>
        <v>47799.92</v>
      </c>
      <c r="I113" s="148"/>
    </row>
    <row r="114" spans="1:9" ht="30">
      <c r="A114" s="32" t="s">
        <v>29</v>
      </c>
      <c r="B114" s="20" t="s">
        <v>158</v>
      </c>
      <c r="C114" s="34">
        <v>49000</v>
      </c>
      <c r="D114" s="19">
        <f>33962.76+417.32</f>
        <v>34380.080000000002</v>
      </c>
      <c r="E114" s="33">
        <v>60</v>
      </c>
      <c r="F114" s="33">
        <v>175</v>
      </c>
      <c r="G114" s="34"/>
      <c r="I114" s="148"/>
    </row>
    <row r="115" spans="1:9">
      <c r="A115" s="32" t="s">
        <v>30</v>
      </c>
      <c r="B115" s="20" t="s">
        <v>31</v>
      </c>
      <c r="C115" s="34">
        <v>49000</v>
      </c>
      <c r="D115" s="19">
        <f>587+47219.93</f>
        <v>47806.93</v>
      </c>
      <c r="E115" s="33">
        <v>60</v>
      </c>
      <c r="F115" s="33">
        <f>(0.0342+0.65)*100</f>
        <v>68.42</v>
      </c>
      <c r="G115" s="34">
        <f>D115</f>
        <v>47806.93</v>
      </c>
      <c r="I115" s="148"/>
    </row>
    <row r="116" spans="1:9" ht="30">
      <c r="A116" s="32" t="s">
        <v>32</v>
      </c>
      <c r="B116" s="20" t="s">
        <v>33</v>
      </c>
      <c r="C116" s="34">
        <v>49000</v>
      </c>
      <c r="D116" s="19">
        <f>587+47216.28</f>
        <v>47803.28</v>
      </c>
      <c r="E116" s="33">
        <v>60</v>
      </c>
      <c r="F116" s="33">
        <v>82.8</v>
      </c>
      <c r="G116" s="34"/>
      <c r="I116" s="148"/>
    </row>
    <row r="117" spans="1:9">
      <c r="A117" s="32" t="s">
        <v>34</v>
      </c>
      <c r="B117" s="20" t="s">
        <v>35</v>
      </c>
      <c r="C117" s="34">
        <v>49000</v>
      </c>
      <c r="D117" s="19">
        <f>45117.02+587</f>
        <v>45704.02</v>
      </c>
      <c r="E117" s="33">
        <v>60</v>
      </c>
      <c r="F117" s="33">
        <f>(0.1802+0.4247)*100</f>
        <v>60.49</v>
      </c>
      <c r="G117" s="34">
        <f t="shared" ref="G117:G122" si="0">D117</f>
        <v>45704.02</v>
      </c>
      <c r="I117" s="148"/>
    </row>
    <row r="118" spans="1:9" ht="30">
      <c r="A118" s="32" t="s">
        <v>36</v>
      </c>
      <c r="B118" s="20" t="s">
        <v>37</v>
      </c>
      <c r="C118" s="34">
        <v>49000</v>
      </c>
      <c r="D118" s="19">
        <f>47146.51+587</f>
        <v>47733.51</v>
      </c>
      <c r="E118" s="33">
        <v>60</v>
      </c>
      <c r="F118" s="33">
        <v>69.3</v>
      </c>
      <c r="G118" s="34">
        <f t="shared" si="0"/>
        <v>47733.51</v>
      </c>
      <c r="I118" s="148"/>
    </row>
    <row r="119" spans="1:9" ht="30">
      <c r="A119" s="32" t="s">
        <v>38</v>
      </c>
      <c r="B119" s="20" t="s">
        <v>39</v>
      </c>
      <c r="C119" s="34">
        <v>49000</v>
      </c>
      <c r="D119" s="19">
        <f>47151.72+587</f>
        <v>47738.720000000001</v>
      </c>
      <c r="E119" s="33">
        <v>60</v>
      </c>
      <c r="F119" s="33">
        <f>(0.0864+0.6025)*100</f>
        <v>68.89</v>
      </c>
      <c r="G119" s="34">
        <f t="shared" si="0"/>
        <v>47738.720000000001</v>
      </c>
      <c r="I119" s="148"/>
    </row>
    <row r="120" spans="1:9" ht="30">
      <c r="A120" s="32" t="s">
        <v>40</v>
      </c>
      <c r="B120" s="20" t="s">
        <v>41</v>
      </c>
      <c r="C120" s="34">
        <v>49000</v>
      </c>
      <c r="D120" s="19">
        <f>47142.51+587</f>
        <v>47729.51</v>
      </c>
      <c r="E120" s="33">
        <v>60</v>
      </c>
      <c r="F120" s="33">
        <f>(0.5623+0.1467)*100</f>
        <v>70.900000000000006</v>
      </c>
      <c r="G120" s="34">
        <f t="shared" si="0"/>
        <v>47729.51</v>
      </c>
      <c r="I120" s="148"/>
    </row>
    <row r="121" spans="1:9">
      <c r="A121" s="32" t="s">
        <v>42</v>
      </c>
      <c r="B121" s="20" t="s">
        <v>43</v>
      </c>
      <c r="C121" s="34">
        <v>49000</v>
      </c>
      <c r="D121" s="19">
        <f>47046.16+587</f>
        <v>47633.16</v>
      </c>
      <c r="E121" s="33">
        <v>60</v>
      </c>
      <c r="F121" s="33">
        <f>(0.5413+0.168)*100</f>
        <v>70.930000000000007</v>
      </c>
      <c r="G121" s="34">
        <f t="shared" si="0"/>
        <v>47633.16</v>
      </c>
      <c r="I121" s="148"/>
    </row>
    <row r="122" spans="1:9" ht="30">
      <c r="A122" s="32" t="s">
        <v>44</v>
      </c>
      <c r="B122" s="20" t="s">
        <v>45</v>
      </c>
      <c r="C122" s="34">
        <v>49000</v>
      </c>
      <c r="D122" s="19">
        <f>47056.58+587</f>
        <v>47643.58</v>
      </c>
      <c r="E122" s="33">
        <v>60</v>
      </c>
      <c r="F122" s="33">
        <v>266.3</v>
      </c>
      <c r="G122" s="34">
        <f t="shared" si="0"/>
        <v>47643.58</v>
      </c>
      <c r="I122" s="148"/>
    </row>
    <row r="123" spans="1:9" ht="45">
      <c r="A123" s="32" t="s">
        <v>46</v>
      </c>
      <c r="B123" s="20" t="s">
        <v>47</v>
      </c>
      <c r="C123" s="36">
        <v>49000</v>
      </c>
      <c r="D123" s="19">
        <f>47020.2+587</f>
        <v>47607.199999999997</v>
      </c>
      <c r="E123" s="37">
        <v>60</v>
      </c>
      <c r="F123" s="37">
        <v>213.21</v>
      </c>
      <c r="G123" s="34" t="s">
        <v>358</v>
      </c>
      <c r="I123" s="148"/>
    </row>
    <row r="124" spans="1:9" ht="30">
      <c r="A124" s="32" t="s">
        <v>48</v>
      </c>
      <c r="B124" s="20" t="s">
        <v>49</v>
      </c>
      <c r="C124" s="36">
        <v>49000</v>
      </c>
      <c r="D124" s="19">
        <f>47019.06+587</f>
        <v>47606.06</v>
      </c>
      <c r="E124" s="37">
        <v>60</v>
      </c>
      <c r="F124" s="37">
        <f>3+14+43.74</f>
        <v>60.74</v>
      </c>
      <c r="G124" s="36"/>
      <c r="I124" s="148"/>
    </row>
    <row r="125" spans="1:9" ht="30">
      <c r="A125" s="32" t="s">
        <v>50</v>
      </c>
      <c r="B125" s="20" t="s">
        <v>51</v>
      </c>
      <c r="C125" s="36">
        <v>49000</v>
      </c>
      <c r="D125" s="19">
        <f>48290.2+587</f>
        <v>48877.2</v>
      </c>
      <c r="E125" s="37">
        <v>60</v>
      </c>
      <c r="F125" s="20">
        <v>297.82</v>
      </c>
      <c r="G125" s="36">
        <f>D125</f>
        <v>48877.2</v>
      </c>
      <c r="I125" s="148"/>
    </row>
    <row r="126" spans="1:9" ht="30">
      <c r="A126" s="32" t="s">
        <v>52</v>
      </c>
      <c r="B126" s="20" t="s">
        <v>53</v>
      </c>
      <c r="C126" s="36">
        <v>49000</v>
      </c>
      <c r="D126" s="19">
        <f>47309.05+587</f>
        <v>47896.05</v>
      </c>
      <c r="E126" s="37">
        <v>60</v>
      </c>
      <c r="F126" s="37">
        <v>295.8</v>
      </c>
      <c r="G126" s="36">
        <f>D126</f>
        <v>47896.05</v>
      </c>
      <c r="I126" s="148"/>
    </row>
    <row r="127" spans="1:9" ht="45">
      <c r="A127" s="32" t="s">
        <v>54</v>
      </c>
      <c r="B127" s="20" t="s">
        <v>55</v>
      </c>
      <c r="C127" s="36">
        <v>49000</v>
      </c>
      <c r="D127" s="19">
        <f>47011.55+587</f>
        <v>47598.55</v>
      </c>
      <c r="E127" s="37">
        <v>60</v>
      </c>
      <c r="F127" s="37">
        <v>445.17</v>
      </c>
      <c r="G127" s="36"/>
      <c r="I127" s="148"/>
    </row>
    <row r="128" spans="1:9" ht="30">
      <c r="A128" s="32" t="s">
        <v>56</v>
      </c>
      <c r="B128" s="20" t="s">
        <v>57</v>
      </c>
      <c r="C128" s="36">
        <v>49000</v>
      </c>
      <c r="D128" s="19">
        <f>43692.47+587</f>
        <v>44279.47</v>
      </c>
      <c r="E128" s="37">
        <v>60</v>
      </c>
      <c r="F128" s="37">
        <v>69.19</v>
      </c>
      <c r="G128" s="36">
        <v>43692.47</v>
      </c>
      <c r="I128" s="148"/>
    </row>
    <row r="129" spans="1:9" ht="30">
      <c r="A129" s="32" t="s">
        <v>58</v>
      </c>
      <c r="B129" s="20" t="s">
        <v>59</v>
      </c>
      <c r="C129" s="36">
        <v>49000</v>
      </c>
      <c r="D129" s="19">
        <f>46873.33+587</f>
        <v>47460.33</v>
      </c>
      <c r="E129" s="37">
        <v>60</v>
      </c>
      <c r="F129" s="37">
        <f>17+79</f>
        <v>96</v>
      </c>
      <c r="G129" s="34" t="s">
        <v>358</v>
      </c>
      <c r="I129" s="148"/>
    </row>
    <row r="130" spans="1:9" ht="30">
      <c r="A130" s="32" t="s">
        <v>60</v>
      </c>
      <c r="B130" s="20" t="s">
        <v>162</v>
      </c>
      <c r="C130" s="36">
        <v>49000</v>
      </c>
      <c r="D130" s="19">
        <f>38788.86+474.26</f>
        <v>39263.120000000003</v>
      </c>
      <c r="E130" s="37">
        <v>60</v>
      </c>
      <c r="F130" s="37">
        <f>35+32.5</f>
        <v>67.5</v>
      </c>
      <c r="G130" s="34" t="s">
        <v>358</v>
      </c>
      <c r="I130" s="148"/>
    </row>
    <row r="131" spans="1:9">
      <c r="A131" s="32" t="s">
        <v>61</v>
      </c>
      <c r="B131" s="20" t="s">
        <v>62</v>
      </c>
      <c r="C131" s="36">
        <v>49000</v>
      </c>
      <c r="D131" s="19">
        <f>586.6+48289.46</f>
        <v>48876.06</v>
      </c>
      <c r="E131" s="37">
        <v>60</v>
      </c>
      <c r="F131" s="37">
        <f>(0.0996+0.646)*100</f>
        <v>74.56</v>
      </c>
      <c r="G131" s="36">
        <f>D131</f>
        <v>48876.06</v>
      </c>
      <c r="I131" s="148"/>
    </row>
    <row r="132" spans="1:9" ht="30">
      <c r="A132" s="32" t="s">
        <v>63</v>
      </c>
      <c r="B132" s="141" t="s">
        <v>64</v>
      </c>
      <c r="C132" s="142">
        <v>0</v>
      </c>
      <c r="D132" s="140" t="s">
        <v>540</v>
      </c>
      <c r="E132" s="86">
        <v>0</v>
      </c>
      <c r="F132" s="86" t="s">
        <v>540</v>
      </c>
      <c r="G132" s="34" t="s">
        <v>358</v>
      </c>
      <c r="I132" s="148"/>
    </row>
    <row r="133" spans="1:9" ht="30">
      <c r="A133" s="32" t="s">
        <v>65</v>
      </c>
      <c r="B133" s="20" t="s">
        <v>380</v>
      </c>
      <c r="C133" s="36">
        <v>49000</v>
      </c>
      <c r="D133" s="19">
        <f>587+47110.19</f>
        <v>47697.19</v>
      </c>
      <c r="E133" s="37">
        <v>60</v>
      </c>
      <c r="F133" s="37">
        <f>(0.1083+0.578)*100</f>
        <v>68.63</v>
      </c>
      <c r="G133" s="36">
        <f>D133</f>
        <v>47697.19</v>
      </c>
      <c r="I133" s="148"/>
    </row>
    <row r="134" spans="1:9" ht="30">
      <c r="A134" s="32" t="s">
        <v>66</v>
      </c>
      <c r="B134" s="20" t="s">
        <v>121</v>
      </c>
      <c r="C134" s="36">
        <v>49000</v>
      </c>
      <c r="D134" s="19">
        <f>587+47119.28</f>
        <v>47706.28</v>
      </c>
      <c r="E134" s="37">
        <v>60</v>
      </c>
      <c r="F134" s="37">
        <f>(0.4972+0.2183)*100</f>
        <v>71.55</v>
      </c>
      <c r="G134" s="36">
        <f>D134</f>
        <v>47706.28</v>
      </c>
      <c r="I134" s="148"/>
    </row>
    <row r="135" spans="1:9" ht="30">
      <c r="A135" s="32" t="s">
        <v>67</v>
      </c>
      <c r="B135" s="20" t="s">
        <v>122</v>
      </c>
      <c r="C135" s="36">
        <v>49000</v>
      </c>
      <c r="D135" s="19">
        <f>587+47020.51</f>
        <v>47607.51</v>
      </c>
      <c r="E135" s="37">
        <v>60</v>
      </c>
      <c r="F135" s="37">
        <f>(0.694)*100</f>
        <v>69.399999999999991</v>
      </c>
      <c r="G135" s="36">
        <f>D135</f>
        <v>47607.51</v>
      </c>
      <c r="I135" s="148"/>
    </row>
    <row r="136" spans="1:9" ht="30">
      <c r="A136" s="32" t="s">
        <v>68</v>
      </c>
      <c r="B136" s="20" t="s">
        <v>70</v>
      </c>
      <c r="C136" s="36">
        <v>49000</v>
      </c>
      <c r="D136" s="19">
        <f>47259.77+587</f>
        <v>47846.77</v>
      </c>
      <c r="E136" s="37">
        <v>60</v>
      </c>
      <c r="F136" s="37">
        <v>342.76</v>
      </c>
      <c r="G136" s="34" t="s">
        <v>358</v>
      </c>
      <c r="I136" s="148"/>
    </row>
    <row r="137" spans="1:9" ht="30">
      <c r="A137" s="32" t="s">
        <v>69</v>
      </c>
      <c r="B137" s="20" t="s">
        <v>123</v>
      </c>
      <c r="C137" s="36">
        <v>49000</v>
      </c>
      <c r="D137" s="19">
        <f>587+47243.34</f>
        <v>47830.34</v>
      </c>
      <c r="E137" s="37">
        <v>60</v>
      </c>
      <c r="F137" s="37">
        <v>70</v>
      </c>
      <c r="G137" s="36">
        <f>D137</f>
        <v>47830.34</v>
      </c>
      <c r="I137" s="148"/>
    </row>
    <row r="138" spans="1:9" ht="30">
      <c r="A138" s="143" t="s">
        <v>71</v>
      </c>
      <c r="B138" s="141" t="s">
        <v>73</v>
      </c>
      <c r="C138" s="142">
        <v>0</v>
      </c>
      <c r="D138" s="140" t="s">
        <v>540</v>
      </c>
      <c r="E138" s="86">
        <v>0</v>
      </c>
      <c r="F138" s="86" t="s">
        <v>540</v>
      </c>
      <c r="G138" s="34" t="s">
        <v>358</v>
      </c>
      <c r="I138" s="148"/>
    </row>
    <row r="139" spans="1:9" ht="30">
      <c r="A139" s="143" t="s">
        <v>72</v>
      </c>
      <c r="B139" s="141" t="s">
        <v>75</v>
      </c>
      <c r="C139" s="142">
        <v>0</v>
      </c>
      <c r="D139" s="140" t="s">
        <v>540</v>
      </c>
      <c r="E139" s="86">
        <v>0</v>
      </c>
      <c r="F139" s="86" t="s">
        <v>540</v>
      </c>
      <c r="G139" s="34"/>
      <c r="I139" s="148"/>
    </row>
    <row r="140" spans="1:9" ht="30">
      <c r="A140" s="32" t="s">
        <v>74</v>
      </c>
      <c r="B140" s="20" t="s">
        <v>77</v>
      </c>
      <c r="C140" s="36">
        <v>49000</v>
      </c>
      <c r="D140" s="19">
        <f>48269+587</f>
        <v>48856</v>
      </c>
      <c r="E140" s="37">
        <v>60</v>
      </c>
      <c r="F140" s="37">
        <f>9+6+73.99</f>
        <v>88.99</v>
      </c>
      <c r="G140" s="34" t="s">
        <v>358</v>
      </c>
      <c r="I140" s="148"/>
    </row>
    <row r="141" spans="1:9" ht="30">
      <c r="A141" s="32" t="s">
        <v>76</v>
      </c>
      <c r="B141" s="20" t="s">
        <v>79</v>
      </c>
      <c r="C141" s="36">
        <v>49000</v>
      </c>
      <c r="D141" s="19">
        <f>587+48054.25</f>
        <v>48641.25</v>
      </c>
      <c r="E141" s="37">
        <v>60</v>
      </c>
      <c r="F141" s="37">
        <v>94.1</v>
      </c>
      <c r="G141" s="36">
        <f>D141</f>
        <v>48641.25</v>
      </c>
      <c r="I141" s="148"/>
    </row>
    <row r="142" spans="1:9">
      <c r="A142" s="38" t="s">
        <v>78</v>
      </c>
      <c r="B142" s="20" t="s">
        <v>81</v>
      </c>
      <c r="C142" s="36">
        <v>49000</v>
      </c>
      <c r="D142" s="36">
        <f>47286.09+587</f>
        <v>47873.09</v>
      </c>
      <c r="E142" s="37">
        <v>60</v>
      </c>
      <c r="F142" s="37">
        <f>(0.4628+0.288)*100</f>
        <v>75.079999999999984</v>
      </c>
      <c r="G142" s="36">
        <f>D142</f>
        <v>47873.09</v>
      </c>
      <c r="I142" s="148"/>
    </row>
    <row r="143" spans="1:9" ht="30">
      <c r="A143" s="38" t="s">
        <v>80</v>
      </c>
      <c r="B143" s="20" t="s">
        <v>124</v>
      </c>
      <c r="C143" s="36">
        <v>49000</v>
      </c>
      <c r="D143" s="19">
        <f>587+46885.24</f>
        <v>47472.24</v>
      </c>
      <c r="E143" s="39">
        <v>60</v>
      </c>
      <c r="F143" s="37">
        <f>(0.1425+0.54)*100</f>
        <v>68.25</v>
      </c>
      <c r="G143" s="40">
        <f>D143</f>
        <v>47472.24</v>
      </c>
      <c r="I143" s="148"/>
    </row>
    <row r="144" spans="1:9" ht="30">
      <c r="A144" s="38" t="s">
        <v>82</v>
      </c>
      <c r="B144" s="20" t="s">
        <v>125</v>
      </c>
      <c r="C144" s="36">
        <v>49000</v>
      </c>
      <c r="D144" s="19">
        <f>587+46882.09</f>
        <v>47469.09</v>
      </c>
      <c r="E144" s="39">
        <v>65</v>
      </c>
      <c r="F144" s="37">
        <f>(0.4379+0.3185)*100</f>
        <v>75.64</v>
      </c>
      <c r="G144" s="40">
        <f>D144</f>
        <v>47469.09</v>
      </c>
      <c r="I144" s="148"/>
    </row>
    <row r="145" spans="1:9" ht="30">
      <c r="A145" s="38" t="s">
        <v>83</v>
      </c>
      <c r="B145" s="20" t="s">
        <v>126</v>
      </c>
      <c r="C145" s="36">
        <v>42000</v>
      </c>
      <c r="D145" s="19">
        <f>502+40251.94</f>
        <v>40753.94</v>
      </c>
      <c r="E145" s="39">
        <v>50</v>
      </c>
      <c r="F145" s="37">
        <v>59.46</v>
      </c>
      <c r="G145" s="40">
        <f>D145</f>
        <v>40753.94</v>
      </c>
      <c r="I145" s="148"/>
    </row>
    <row r="146" spans="1:9" ht="30">
      <c r="A146" s="41" t="s">
        <v>84</v>
      </c>
      <c r="B146" s="141" t="s">
        <v>127</v>
      </c>
      <c r="C146" s="144">
        <v>0</v>
      </c>
      <c r="D146" s="140" t="s">
        <v>540</v>
      </c>
      <c r="E146" s="145">
        <v>0</v>
      </c>
      <c r="F146" s="141" t="s">
        <v>540</v>
      </c>
      <c r="G146" s="43"/>
      <c r="I146" s="148"/>
    </row>
    <row r="147" spans="1:9" ht="30">
      <c r="A147" s="38" t="s">
        <v>85</v>
      </c>
      <c r="B147" s="20" t="s">
        <v>128</v>
      </c>
      <c r="C147" s="36">
        <v>66000</v>
      </c>
      <c r="D147" s="19">
        <f>2430+724.48+59548.42</f>
        <v>62702.9</v>
      </c>
      <c r="E147" s="39">
        <v>80</v>
      </c>
      <c r="F147" s="37">
        <f>(0.1736+0.7038)*100</f>
        <v>87.74</v>
      </c>
      <c r="G147" s="40">
        <f t="shared" ref="G147:G155" si="1">D147</f>
        <v>62702.9</v>
      </c>
      <c r="I147" s="148"/>
    </row>
    <row r="148" spans="1:9" ht="30">
      <c r="A148" s="41" t="s">
        <v>86</v>
      </c>
      <c r="B148" s="20" t="s">
        <v>129</v>
      </c>
      <c r="C148" s="21">
        <v>122700</v>
      </c>
      <c r="D148" s="19">
        <f>2430+1442+118772.56</f>
        <v>122644.56</v>
      </c>
      <c r="E148" s="42">
        <v>150</v>
      </c>
      <c r="F148" s="20">
        <v>209.06</v>
      </c>
      <c r="G148" s="43">
        <f t="shared" si="1"/>
        <v>122644.56</v>
      </c>
      <c r="I148" s="148"/>
    </row>
    <row r="149" spans="1:9" ht="30">
      <c r="A149" s="38" t="s">
        <v>87</v>
      </c>
      <c r="B149" s="20" t="s">
        <v>130</v>
      </c>
      <c r="C149" s="36">
        <v>86000</v>
      </c>
      <c r="D149" s="19">
        <f>2430+960+79008.96</f>
        <v>82398.960000000006</v>
      </c>
      <c r="E149" s="39">
        <v>100</v>
      </c>
      <c r="F149" s="37">
        <f>(0.1055+1.077)*100</f>
        <v>118.24999999999999</v>
      </c>
      <c r="G149" s="40">
        <f t="shared" si="1"/>
        <v>82398.960000000006</v>
      </c>
      <c r="I149" s="148"/>
    </row>
    <row r="150" spans="1:9" ht="30">
      <c r="A150" s="38" t="s">
        <v>281</v>
      </c>
      <c r="B150" s="20" t="s">
        <v>296</v>
      </c>
      <c r="C150" s="36">
        <v>184000</v>
      </c>
      <c r="D150" s="19">
        <f>2430+2144.93+175109.71</f>
        <v>179684.63999999998</v>
      </c>
      <c r="E150" s="39">
        <v>220</v>
      </c>
      <c r="F150" s="37">
        <f>26+117+110</f>
        <v>253</v>
      </c>
      <c r="G150" s="40">
        <f t="shared" si="1"/>
        <v>179684.63999999998</v>
      </c>
      <c r="I150" s="148"/>
    </row>
    <row r="151" spans="1:9" ht="30">
      <c r="A151" s="38" t="s">
        <v>88</v>
      </c>
      <c r="B151" s="20" t="s">
        <v>297</v>
      </c>
      <c r="C151" s="36">
        <v>66000</v>
      </c>
      <c r="D151" s="19">
        <f>2430+62627.16+760.55</f>
        <v>65817.710000000006</v>
      </c>
      <c r="E151" s="39">
        <v>80</v>
      </c>
      <c r="F151" s="37">
        <f>37+61.97</f>
        <v>98.97</v>
      </c>
      <c r="G151" s="40">
        <f t="shared" si="1"/>
        <v>65817.710000000006</v>
      </c>
      <c r="I151" s="148"/>
    </row>
    <row r="152" spans="1:9" ht="30">
      <c r="A152" s="44" t="s">
        <v>89</v>
      </c>
      <c r="B152" s="20" t="s">
        <v>131</v>
      </c>
      <c r="C152" s="21">
        <v>86000</v>
      </c>
      <c r="D152" s="19">
        <f>2430+859.9+70977.67</f>
        <v>74267.569999999992</v>
      </c>
      <c r="E152" s="42">
        <v>100</v>
      </c>
      <c r="F152" s="20">
        <f>(0.5103+0.6095)*100</f>
        <v>111.98000000000002</v>
      </c>
      <c r="G152" s="40">
        <f t="shared" si="1"/>
        <v>74267.569999999992</v>
      </c>
      <c r="I152" s="148"/>
    </row>
    <row r="153" spans="1:9" ht="30">
      <c r="A153" s="44" t="s">
        <v>90</v>
      </c>
      <c r="B153" s="20" t="s">
        <v>132</v>
      </c>
      <c r="C153" s="21">
        <v>108300</v>
      </c>
      <c r="D153" s="19">
        <f>2430+1270+104533.86</f>
        <v>108233.86</v>
      </c>
      <c r="E153" s="42">
        <v>135</v>
      </c>
      <c r="F153" s="20">
        <f>(0.3614+1.169)*100</f>
        <v>153.04</v>
      </c>
      <c r="G153" s="40">
        <f t="shared" si="1"/>
        <v>108233.86</v>
      </c>
      <c r="I153" s="148"/>
    </row>
    <row r="154" spans="1:9" ht="30">
      <c r="A154" s="44" t="s">
        <v>91</v>
      </c>
      <c r="B154" s="20" t="s">
        <v>133</v>
      </c>
      <c r="C154" s="21">
        <v>114000</v>
      </c>
      <c r="D154" s="19">
        <f>2430+1333+109995.24</f>
        <v>113758.24</v>
      </c>
      <c r="E154" s="42">
        <v>150</v>
      </c>
      <c r="F154" s="20">
        <f>(0.278+1.4695)*100</f>
        <v>174.75</v>
      </c>
      <c r="G154" s="40">
        <f t="shared" si="1"/>
        <v>113758.24</v>
      </c>
      <c r="I154" s="148"/>
    </row>
    <row r="155" spans="1:9" ht="30">
      <c r="A155" s="45" t="s">
        <v>92</v>
      </c>
      <c r="B155" s="20" t="s">
        <v>134</v>
      </c>
      <c r="C155" s="36">
        <v>41000</v>
      </c>
      <c r="D155" s="19">
        <f>39328.41+549.62</f>
        <v>39878.030000000006</v>
      </c>
      <c r="E155" s="39">
        <v>50</v>
      </c>
      <c r="F155" s="37">
        <f>(0.018+0.561)*100</f>
        <v>57.900000000000006</v>
      </c>
      <c r="G155" s="40">
        <f t="shared" si="1"/>
        <v>39878.030000000006</v>
      </c>
      <c r="I155" s="148"/>
    </row>
    <row r="156" spans="1:9" ht="33" customHeight="1">
      <c r="A156" s="44" t="s">
        <v>93</v>
      </c>
      <c r="B156" s="20" t="s">
        <v>135</v>
      </c>
      <c r="C156" s="21">
        <v>152400</v>
      </c>
      <c r="D156" s="19">
        <f>2430+148086.16+1799</f>
        <v>152315.16</v>
      </c>
      <c r="E156" s="42">
        <v>190</v>
      </c>
      <c r="F156" s="20">
        <f>46.38+136+46</f>
        <v>228.38</v>
      </c>
      <c r="G156" s="40" t="s">
        <v>369</v>
      </c>
      <c r="I156" s="148"/>
    </row>
    <row r="157" spans="1:9" ht="33.75" customHeight="1">
      <c r="A157" s="44" t="s">
        <v>94</v>
      </c>
      <c r="B157" s="20" t="s">
        <v>136</v>
      </c>
      <c r="C157" s="21">
        <v>124000</v>
      </c>
      <c r="D157" s="19">
        <f>2430+118413.08+1440</f>
        <v>122283.08</v>
      </c>
      <c r="E157" s="42">
        <v>150</v>
      </c>
      <c r="F157" s="20">
        <f>25+99.62+76</f>
        <v>200.62</v>
      </c>
      <c r="G157" s="40" t="s">
        <v>369</v>
      </c>
      <c r="I157" s="148"/>
    </row>
    <row r="158" spans="1:9" ht="35.25" customHeight="1">
      <c r="A158" s="45" t="s">
        <v>95</v>
      </c>
      <c r="B158" s="20" t="s">
        <v>299</v>
      </c>
      <c r="C158" s="36">
        <v>62000</v>
      </c>
      <c r="D158" s="19">
        <f>2430+58699.24+714.16</f>
        <v>61843.4</v>
      </c>
      <c r="E158" s="39">
        <v>70</v>
      </c>
      <c r="F158" s="37">
        <v>105.79</v>
      </c>
      <c r="G158" s="40" t="s">
        <v>369</v>
      </c>
      <c r="I158" s="148"/>
    </row>
    <row r="159" spans="1:9" ht="30">
      <c r="A159" s="44" t="s">
        <v>96</v>
      </c>
      <c r="B159" s="20" t="s">
        <v>137</v>
      </c>
      <c r="C159" s="21">
        <v>37000</v>
      </c>
      <c r="D159" s="19">
        <f>443+36405.18</f>
        <v>36848.18</v>
      </c>
      <c r="E159" s="42">
        <v>40</v>
      </c>
      <c r="F159" s="20">
        <f>(0.0113+0.513)*100</f>
        <v>52.43</v>
      </c>
      <c r="G159" s="47">
        <v>36405.18</v>
      </c>
      <c r="I159" s="148"/>
    </row>
    <row r="160" spans="1:9" ht="30">
      <c r="A160" s="45" t="s">
        <v>97</v>
      </c>
      <c r="B160" s="20" t="s">
        <v>138</v>
      </c>
      <c r="C160" s="36">
        <v>25000</v>
      </c>
      <c r="D160" s="19">
        <f>19271.9+237.91</f>
        <v>19509.810000000001</v>
      </c>
      <c r="E160" s="39">
        <v>30</v>
      </c>
      <c r="F160" s="37">
        <v>29.7</v>
      </c>
      <c r="G160" s="46" t="s">
        <v>358</v>
      </c>
      <c r="I160" s="148"/>
    </row>
    <row r="161" spans="1:9" ht="30">
      <c r="A161" s="45" t="s">
        <v>98</v>
      </c>
      <c r="B161" s="20" t="s">
        <v>139</v>
      </c>
      <c r="C161" s="36">
        <v>25000</v>
      </c>
      <c r="D161" s="19">
        <f>299.64+24612.88</f>
        <v>24912.52</v>
      </c>
      <c r="E161" s="39">
        <v>30</v>
      </c>
      <c r="F161" s="37">
        <f>(0.0564+0.2933)*100</f>
        <v>34.97</v>
      </c>
      <c r="G161" s="46">
        <f>D161</f>
        <v>24912.52</v>
      </c>
      <c r="I161" s="148"/>
    </row>
    <row r="162" spans="1:9" ht="30">
      <c r="A162" s="45" t="s">
        <v>99</v>
      </c>
      <c r="B162" s="20" t="s">
        <v>140</v>
      </c>
      <c r="C162" s="36">
        <v>45000</v>
      </c>
      <c r="D162" s="19">
        <f>450+43948.87</f>
        <v>44398.87</v>
      </c>
      <c r="E162" s="39">
        <v>60</v>
      </c>
      <c r="F162" s="37">
        <f>(0.048+0.5856)*100</f>
        <v>63.360000000000007</v>
      </c>
      <c r="G162" s="46">
        <f>D162</f>
        <v>44398.87</v>
      </c>
      <c r="I162" s="148"/>
    </row>
    <row r="163" spans="1:9" ht="30">
      <c r="A163" s="44" t="s">
        <v>100</v>
      </c>
      <c r="B163" s="20" t="s">
        <v>141</v>
      </c>
      <c r="C163" s="21">
        <v>320700</v>
      </c>
      <c r="D163" s="35">
        <f>2409.75+3780+311999</f>
        <v>318188.75</v>
      </c>
      <c r="E163" s="42">
        <v>500</v>
      </c>
      <c r="F163" s="20">
        <f>61.03+490.22</f>
        <v>551.25</v>
      </c>
      <c r="G163" s="47">
        <v>318188.75</v>
      </c>
      <c r="I163" s="148"/>
    </row>
    <row r="164" spans="1:9" ht="30">
      <c r="A164" s="44" t="s">
        <v>101</v>
      </c>
      <c r="B164" s="20" t="s">
        <v>142</v>
      </c>
      <c r="C164" s="21">
        <v>213000</v>
      </c>
      <c r="D164" s="35">
        <f>2409.75+2481.97+204588.85</f>
        <v>209480.57</v>
      </c>
      <c r="E164" s="42">
        <v>500</v>
      </c>
      <c r="F164" s="20">
        <f>12.73+349.56</f>
        <v>362.29</v>
      </c>
      <c r="G164" s="47">
        <v>209480.57</v>
      </c>
      <c r="I164" s="148"/>
    </row>
    <row r="165" spans="1:9" ht="30">
      <c r="A165" s="44" t="s">
        <v>102</v>
      </c>
      <c r="B165" s="20" t="s">
        <v>143</v>
      </c>
      <c r="C165" s="21">
        <v>322200</v>
      </c>
      <c r="D165" s="35">
        <f>2409.75+309496.99+3820</f>
        <v>315726.74</v>
      </c>
      <c r="E165" s="42">
        <v>500</v>
      </c>
      <c r="F165" s="20">
        <f>46.03+495.27</f>
        <v>541.29999999999995</v>
      </c>
      <c r="G165" s="47">
        <f>D165</f>
        <v>315726.74</v>
      </c>
      <c r="I165" s="148"/>
    </row>
    <row r="166" spans="1:9" ht="30">
      <c r="A166" s="44" t="s">
        <v>103</v>
      </c>
      <c r="B166" s="20" t="s">
        <v>144</v>
      </c>
      <c r="C166" s="21">
        <v>288300</v>
      </c>
      <c r="D166" s="35">
        <f>2409.75+275952.29+3343.01</f>
        <v>281705.05</v>
      </c>
      <c r="E166" s="42">
        <v>500</v>
      </c>
      <c r="F166" s="20">
        <f>(1.307+4.137)*100</f>
        <v>544.39999999999986</v>
      </c>
      <c r="G166" s="47">
        <f>D166</f>
        <v>281705.05</v>
      </c>
      <c r="I166" s="148"/>
    </row>
    <row r="167" spans="1:9" ht="30">
      <c r="A167" s="44" t="s">
        <v>104</v>
      </c>
      <c r="B167" s="20" t="s">
        <v>145</v>
      </c>
      <c r="C167" s="21">
        <v>49000</v>
      </c>
      <c r="D167" s="48">
        <f>48235.98+585.83</f>
        <v>48821.810000000005</v>
      </c>
      <c r="E167" s="42">
        <v>80</v>
      </c>
      <c r="F167" s="20">
        <f>(0.0324+0.727)*100</f>
        <v>75.94</v>
      </c>
      <c r="G167" s="47">
        <f>D167</f>
        <v>48821.810000000005</v>
      </c>
      <c r="I167" s="148"/>
    </row>
    <row r="168" spans="1:9" ht="30">
      <c r="A168" s="44" t="s">
        <v>105</v>
      </c>
      <c r="B168" s="20" t="s">
        <v>146</v>
      </c>
      <c r="C168" s="21">
        <v>49000</v>
      </c>
      <c r="D168" s="19">
        <f>32453+457</f>
        <v>32910</v>
      </c>
      <c r="E168" s="42">
        <v>80</v>
      </c>
      <c r="F168" s="20">
        <v>175</v>
      </c>
      <c r="G168" s="46" t="s">
        <v>358</v>
      </c>
      <c r="I168" s="148"/>
    </row>
    <row r="169" spans="1:9" ht="30">
      <c r="A169" s="44" t="s">
        <v>106</v>
      </c>
      <c r="B169" s="20" t="s">
        <v>381</v>
      </c>
      <c r="C169" s="21">
        <v>129000</v>
      </c>
      <c r="D169" s="35">
        <f>2409.75+111381.12+1351.77</f>
        <v>115142.64</v>
      </c>
      <c r="E169" s="42">
        <v>200</v>
      </c>
      <c r="F169" s="20">
        <f>(0.5138+1.45285)*100</f>
        <v>196.66499999999999</v>
      </c>
      <c r="G169" s="47">
        <f>D169</f>
        <v>115142.64</v>
      </c>
      <c r="I169" s="148"/>
    </row>
    <row r="170" spans="1:9" ht="30">
      <c r="A170" s="45" t="s">
        <v>107</v>
      </c>
      <c r="B170" s="20" t="s">
        <v>382</v>
      </c>
      <c r="C170" s="36">
        <v>77000</v>
      </c>
      <c r="D170" s="19">
        <f>2409.75+72208.33</f>
        <v>74618.080000000002</v>
      </c>
      <c r="E170" s="39">
        <v>90</v>
      </c>
      <c r="F170" s="37">
        <f>(0.1377+0.992)*100</f>
        <v>112.97</v>
      </c>
      <c r="G170" s="46">
        <f>D170</f>
        <v>74618.080000000002</v>
      </c>
      <c r="I170" s="148"/>
    </row>
    <row r="171" spans="1:9" ht="30">
      <c r="A171" s="45" t="s">
        <v>108</v>
      </c>
      <c r="B171" s="20" t="s">
        <v>147</v>
      </c>
      <c r="C171" s="36">
        <v>85000</v>
      </c>
      <c r="D171" s="19">
        <f>2409.75+78929.35+957.23</f>
        <v>82296.33</v>
      </c>
      <c r="E171" s="39">
        <v>100</v>
      </c>
      <c r="F171" s="37">
        <f>(0.2756+0.9398)*100</f>
        <v>121.54</v>
      </c>
      <c r="G171" s="46">
        <f>D171</f>
        <v>82296.33</v>
      </c>
      <c r="I171" s="148"/>
    </row>
    <row r="172" spans="1:9" ht="30">
      <c r="A172" s="44" t="s">
        <v>109</v>
      </c>
      <c r="B172" s="20" t="s">
        <v>148</v>
      </c>
      <c r="C172" s="21">
        <v>69300</v>
      </c>
      <c r="D172" s="19">
        <f>2409.75+799.98+65981.23</f>
        <v>69190.959999999992</v>
      </c>
      <c r="E172" s="42">
        <v>100</v>
      </c>
      <c r="F172" s="20">
        <f>(0.276+0.7354)*100</f>
        <v>101.14000000000001</v>
      </c>
      <c r="G172" s="47">
        <f>D172</f>
        <v>69190.959999999992</v>
      </c>
      <c r="I172" s="148"/>
    </row>
    <row r="173" spans="1:9" ht="30">
      <c r="A173" s="44" t="s">
        <v>110</v>
      </c>
      <c r="B173" s="20" t="s">
        <v>149</v>
      </c>
      <c r="C173" s="21">
        <v>41000</v>
      </c>
      <c r="D173" s="19" t="s">
        <v>540</v>
      </c>
      <c r="E173" s="42">
        <v>50</v>
      </c>
      <c r="F173" s="20" t="s">
        <v>540</v>
      </c>
      <c r="G173" s="47" t="s">
        <v>358</v>
      </c>
      <c r="I173" s="148"/>
    </row>
    <row r="174" spans="1:9" ht="30">
      <c r="A174" s="44" t="s">
        <v>111</v>
      </c>
      <c r="B174" s="20" t="s">
        <v>383</v>
      </c>
      <c r="C174" s="21">
        <v>196000</v>
      </c>
      <c r="D174" s="19">
        <f>2409.75+190837.96+2317.02</f>
        <v>195564.72999999998</v>
      </c>
      <c r="E174" s="42">
        <v>244</v>
      </c>
      <c r="F174" s="20">
        <f>(0.8558+2.069)*100</f>
        <v>292.47999999999996</v>
      </c>
      <c r="G174" s="47">
        <f>D174</f>
        <v>195564.72999999998</v>
      </c>
      <c r="I174" s="148"/>
    </row>
    <row r="175" spans="1:9" ht="30">
      <c r="A175" s="44" t="s">
        <v>112</v>
      </c>
      <c r="B175" s="20" t="s">
        <v>150</v>
      </c>
      <c r="C175" s="21">
        <v>205000</v>
      </c>
      <c r="D175" s="19">
        <f>2409.75+199824.16+2433.78</f>
        <v>204667.69</v>
      </c>
      <c r="E175" s="42">
        <v>300</v>
      </c>
      <c r="F175" s="20">
        <f>(0.64673+2.5221)*100</f>
        <v>316.88299999999998</v>
      </c>
      <c r="G175" s="47">
        <f>D175</f>
        <v>204667.69</v>
      </c>
      <c r="I175" s="148"/>
    </row>
    <row r="176" spans="1:9" ht="30">
      <c r="A176" s="44" t="s">
        <v>113</v>
      </c>
      <c r="B176" s="20" t="s">
        <v>384</v>
      </c>
      <c r="C176" s="21">
        <v>184000</v>
      </c>
      <c r="D176" s="19">
        <f>2409.75+175898.87+2126.04</f>
        <v>180434.66</v>
      </c>
      <c r="E176" s="42">
        <v>350</v>
      </c>
      <c r="F176" s="20">
        <f>(1.062+2.595)*100</f>
        <v>365.7</v>
      </c>
      <c r="G176" s="47">
        <f>D176</f>
        <v>180434.66</v>
      </c>
      <c r="I176" s="148"/>
    </row>
    <row r="177" spans="1:9" ht="30">
      <c r="A177" s="44" t="s">
        <v>114</v>
      </c>
      <c r="B177" s="20" t="s">
        <v>151</v>
      </c>
      <c r="C177" s="21">
        <v>236000</v>
      </c>
      <c r="D177" s="35">
        <f>2409.75+143993.89+1657</f>
        <v>148060.64000000001</v>
      </c>
      <c r="E177" s="42">
        <v>450</v>
      </c>
      <c r="F177" s="20">
        <v>444.33600000000001</v>
      </c>
      <c r="G177" s="47">
        <f>D177</f>
        <v>148060.64000000001</v>
      </c>
      <c r="I177" s="148"/>
    </row>
    <row r="178" spans="1:9" ht="30">
      <c r="A178" s="44" t="s">
        <v>115</v>
      </c>
      <c r="B178" s="20" t="s">
        <v>152</v>
      </c>
      <c r="C178" s="21">
        <v>72300</v>
      </c>
      <c r="D178" s="19">
        <f>2409.75+68330.59+837</f>
        <v>71577.34</v>
      </c>
      <c r="E178" s="42">
        <v>100</v>
      </c>
      <c r="F178" s="20">
        <f>(0.05+0.409+0.772)*100</f>
        <v>123.1</v>
      </c>
      <c r="G178" s="47">
        <f>D178</f>
        <v>71577.34</v>
      </c>
      <c r="I178" s="148"/>
    </row>
    <row r="179" spans="1:9" ht="30">
      <c r="A179" s="44" t="s">
        <v>116</v>
      </c>
      <c r="B179" s="20" t="s">
        <v>153</v>
      </c>
      <c r="C179" s="21">
        <v>195200</v>
      </c>
      <c r="D179" s="35">
        <f>2409.75+2290+188798.54</f>
        <v>193498.29</v>
      </c>
      <c r="E179" s="42">
        <v>300</v>
      </c>
      <c r="F179" s="20">
        <f>(0.3568+2.9372)*100</f>
        <v>329.4</v>
      </c>
      <c r="G179" s="47">
        <v>188798.54</v>
      </c>
      <c r="I179" s="148"/>
    </row>
    <row r="180" spans="1:9" ht="30">
      <c r="A180" s="45" t="s">
        <v>117</v>
      </c>
      <c r="B180" s="20" t="s">
        <v>160</v>
      </c>
      <c r="C180" s="36">
        <v>85000</v>
      </c>
      <c r="D180" s="19">
        <f>2409.75+900.03+74113.19</f>
        <v>77422.97</v>
      </c>
      <c r="E180" s="39">
        <v>100</v>
      </c>
      <c r="F180" s="37">
        <v>116.4</v>
      </c>
      <c r="G180" s="46">
        <f t="shared" ref="G180:G185" si="2">D180</f>
        <v>77422.97</v>
      </c>
      <c r="I180" s="148"/>
    </row>
    <row r="181" spans="1:9" ht="30">
      <c r="A181" s="45" t="s">
        <v>118</v>
      </c>
      <c r="B181" s="20" t="s">
        <v>154</v>
      </c>
      <c r="C181" s="36">
        <v>41000</v>
      </c>
      <c r="D181" s="19">
        <f>39343.27+548.06</f>
        <v>39891.329999999994</v>
      </c>
      <c r="E181" s="39">
        <v>50</v>
      </c>
      <c r="F181" s="37">
        <f>(0.101+0.528)*100</f>
        <v>62.9</v>
      </c>
      <c r="G181" s="46">
        <f t="shared" si="2"/>
        <v>39891.329999999994</v>
      </c>
      <c r="I181" s="148"/>
    </row>
    <row r="182" spans="1:9" ht="30">
      <c r="A182" s="45" t="s">
        <v>119</v>
      </c>
      <c r="B182" s="20" t="s">
        <v>155</v>
      </c>
      <c r="C182" s="36">
        <v>49000</v>
      </c>
      <c r="D182" s="19">
        <f>48289.48+585.81</f>
        <v>48875.29</v>
      </c>
      <c r="E182" s="39">
        <v>60</v>
      </c>
      <c r="F182" s="37">
        <f>(0.1972+0.5528)*100</f>
        <v>75</v>
      </c>
      <c r="G182" s="46">
        <f t="shared" si="2"/>
        <v>48875.29</v>
      </c>
      <c r="I182" s="148"/>
    </row>
    <row r="183" spans="1:9" ht="30">
      <c r="A183" s="44" t="s">
        <v>120</v>
      </c>
      <c r="B183" s="20" t="s">
        <v>161</v>
      </c>
      <c r="C183" s="21">
        <v>95000</v>
      </c>
      <c r="D183" s="19">
        <f>2409.75+87375.91+1058.92</f>
        <v>90844.58</v>
      </c>
      <c r="E183" s="42">
        <v>150</v>
      </c>
      <c r="F183" s="20">
        <f>(0.46953+1.12924)*100</f>
        <v>159.87700000000001</v>
      </c>
      <c r="G183" s="47">
        <f t="shared" si="2"/>
        <v>90844.58</v>
      </c>
      <c r="I183" s="148"/>
    </row>
    <row r="184" spans="1:9" ht="30">
      <c r="A184" s="45" t="s">
        <v>301</v>
      </c>
      <c r="B184" s="20" t="s">
        <v>156</v>
      </c>
      <c r="C184" s="36">
        <v>49000</v>
      </c>
      <c r="D184" s="19">
        <f>47894.36+583.19</f>
        <v>48477.55</v>
      </c>
      <c r="E184" s="39">
        <v>80</v>
      </c>
      <c r="F184" s="37">
        <f>(0.2855+0.4417)*100</f>
        <v>72.72</v>
      </c>
      <c r="G184" s="46">
        <f t="shared" si="2"/>
        <v>48477.55</v>
      </c>
      <c r="I184" s="148"/>
    </row>
    <row r="185" spans="1:9" ht="30">
      <c r="A185" s="44" t="s">
        <v>302</v>
      </c>
      <c r="B185" s="20" t="s">
        <v>157</v>
      </c>
      <c r="C185" s="21">
        <v>63000</v>
      </c>
      <c r="D185" s="19">
        <f>2409.75+53691.66+652.51</f>
        <v>56753.920000000006</v>
      </c>
      <c r="E185" s="42">
        <v>90</v>
      </c>
      <c r="F185" s="20">
        <f>(0.2512+0.6486)*100</f>
        <v>89.97999999999999</v>
      </c>
      <c r="G185" s="48">
        <f t="shared" si="2"/>
        <v>56753.920000000006</v>
      </c>
      <c r="I185" s="148"/>
    </row>
    <row r="186" spans="1:9" ht="45">
      <c r="A186" s="45" t="s">
        <v>282</v>
      </c>
      <c r="B186" s="20" t="s">
        <v>300</v>
      </c>
      <c r="C186" s="49">
        <v>245000</v>
      </c>
      <c r="D186" s="19">
        <f>2409.75+238692.44+2910.42+337.8</f>
        <v>244350.41</v>
      </c>
      <c r="E186" s="39">
        <v>300</v>
      </c>
      <c r="F186" s="37">
        <f>32+162.62+220</f>
        <v>414.62</v>
      </c>
      <c r="G186" s="46" t="s">
        <v>370</v>
      </c>
      <c r="I186" s="148"/>
    </row>
    <row r="187" spans="1:9" ht="45">
      <c r="A187" s="44" t="s">
        <v>283</v>
      </c>
      <c r="B187" s="20" t="s">
        <v>385</v>
      </c>
      <c r="C187" s="10">
        <v>271000</v>
      </c>
      <c r="D187" s="149">
        <f>2430+2430+263282.94+3194.86-337.8</f>
        <v>271000</v>
      </c>
      <c r="E187" s="42">
        <v>320</v>
      </c>
      <c r="F187" s="20">
        <f>33+125+90+148.19</f>
        <v>396.19</v>
      </c>
      <c r="G187" s="46" t="s">
        <v>371</v>
      </c>
      <c r="I187" s="148"/>
    </row>
    <row r="188" spans="1:9" ht="45">
      <c r="A188" s="44" t="s">
        <v>284</v>
      </c>
      <c r="B188" s="3" t="s">
        <v>386</v>
      </c>
      <c r="C188" s="10">
        <v>656000</v>
      </c>
      <c r="D188" s="19">
        <f>(2430+2409.75)+641365.28+7795.9</f>
        <v>654000.93000000005</v>
      </c>
      <c r="E188" s="42">
        <v>800</v>
      </c>
      <c r="F188" s="20">
        <f>217+348+72.05+107+173+85</f>
        <v>1002.05</v>
      </c>
      <c r="G188" s="46" t="s">
        <v>372</v>
      </c>
      <c r="I188" s="148"/>
    </row>
    <row r="189" spans="1:9" ht="60">
      <c r="A189" s="44" t="s">
        <v>285</v>
      </c>
      <c r="B189" s="3" t="s">
        <v>387</v>
      </c>
      <c r="C189" s="10">
        <v>2369000</v>
      </c>
      <c r="D189" s="19">
        <f>2466.45+2466.45+2466.45+2466.45+2466.45+2466.45+2466.45+2466.45+2154051.82+26399.71</f>
        <v>2200183.13</v>
      </c>
      <c r="E189" s="42">
        <v>2900</v>
      </c>
      <c r="F189" s="20">
        <f>27.3+52+245+53.2+81.7+278.5+25+149.3+146+118.5+149.4+32.9+100.4+172.1+62.7+266+83.4+174.9+147.3+197.8+121.2+139.2+53.5</f>
        <v>2877.3</v>
      </c>
      <c r="G189" s="46" t="s">
        <v>373</v>
      </c>
      <c r="I189" s="148"/>
    </row>
    <row r="190" spans="1:9" ht="33.75" customHeight="1">
      <c r="A190" s="44" t="s">
        <v>286</v>
      </c>
      <c r="B190" s="3" t="s">
        <v>298</v>
      </c>
      <c r="C190" s="10">
        <v>241000</v>
      </c>
      <c r="D190" s="35">
        <f>2430+2430+231565.03+2818.3</f>
        <v>239243.33</v>
      </c>
      <c r="E190" s="42">
        <v>280</v>
      </c>
      <c r="F190" s="20">
        <f>34+88+82+63+99.38</f>
        <v>366.38</v>
      </c>
      <c r="G190" s="46" t="s">
        <v>371</v>
      </c>
      <c r="I190" s="148"/>
    </row>
    <row r="191" spans="1:9" ht="33" customHeight="1">
      <c r="A191" s="44" t="s">
        <v>287</v>
      </c>
      <c r="B191" s="3" t="s">
        <v>388</v>
      </c>
      <c r="C191" s="10">
        <v>336000</v>
      </c>
      <c r="D191" s="19">
        <f>2430+2430+326234.78+3970.83</f>
        <v>335065.61000000004</v>
      </c>
      <c r="E191" s="42">
        <v>400</v>
      </c>
      <c r="F191" s="20">
        <f>5.7+177.5+88+12+241.85</f>
        <v>525.04999999999995</v>
      </c>
      <c r="G191" s="46" t="s">
        <v>371</v>
      </c>
      <c r="I191" s="148"/>
    </row>
    <row r="192" spans="1:9" ht="45">
      <c r="A192" s="44" t="s">
        <v>288</v>
      </c>
      <c r="B192" s="3" t="s">
        <v>389</v>
      </c>
      <c r="C192" s="10">
        <v>921000</v>
      </c>
      <c r="D192" s="19">
        <f>2430+2430+2430+2430+896963.16+10926.64</f>
        <v>917609.8</v>
      </c>
      <c r="E192" s="42">
        <v>1160</v>
      </c>
      <c r="F192" s="20">
        <f>32+277+3+296.5+12+264.5+271+289.98</f>
        <v>1445.98</v>
      </c>
      <c r="G192" s="46" t="s">
        <v>374</v>
      </c>
      <c r="I192" s="148"/>
    </row>
    <row r="193" spans="1:9" ht="75">
      <c r="A193" s="44" t="s">
        <v>289</v>
      </c>
      <c r="B193" s="146" t="s">
        <v>541</v>
      </c>
      <c r="C193" s="10">
        <v>1623000</v>
      </c>
      <c r="D193" s="19">
        <f>2430+2430+2430+2430+2430+2430+2430+2430+2430+17432.82+105918.4+1433073.29</f>
        <v>1578294.51</v>
      </c>
      <c r="E193" s="42">
        <v>1940</v>
      </c>
      <c r="F193" s="20">
        <f>580+1166.56+543.94+240</f>
        <v>2530.5</v>
      </c>
      <c r="G193" s="46" t="s">
        <v>375</v>
      </c>
      <c r="I193" s="148"/>
    </row>
    <row r="194" spans="1:9">
      <c r="A194" s="50" t="s">
        <v>290</v>
      </c>
      <c r="B194" s="3" t="s">
        <v>233</v>
      </c>
      <c r="C194" s="10">
        <v>49000</v>
      </c>
      <c r="D194" s="19">
        <f>46862.92+515.13</f>
        <v>47378.049999999996</v>
      </c>
      <c r="E194" s="51">
        <v>60</v>
      </c>
      <c r="F194" s="20">
        <v>75.67</v>
      </c>
      <c r="G194" s="21">
        <f>D194</f>
        <v>47378.049999999996</v>
      </c>
      <c r="I194" s="148"/>
    </row>
    <row r="195" spans="1:9">
      <c r="A195" s="50" t="s">
        <v>291</v>
      </c>
      <c r="B195" s="3" t="s">
        <v>174</v>
      </c>
      <c r="C195" s="10">
        <v>49000</v>
      </c>
      <c r="D195" s="19">
        <f>48282.06+596.54</f>
        <v>48878.6</v>
      </c>
      <c r="E195" s="51">
        <v>60</v>
      </c>
      <c r="F195" s="20">
        <v>198.5</v>
      </c>
      <c r="G195" s="21"/>
      <c r="I195" s="148"/>
    </row>
    <row r="196" spans="1:9" ht="30">
      <c r="A196" s="50" t="s">
        <v>292</v>
      </c>
      <c r="B196" s="3" t="s">
        <v>175</v>
      </c>
      <c r="C196" s="10">
        <v>47000</v>
      </c>
      <c r="D196" s="19">
        <f>641.94+45865.93</f>
        <v>46507.87</v>
      </c>
      <c r="E196" s="51">
        <v>60</v>
      </c>
      <c r="F196" s="20">
        <v>32</v>
      </c>
      <c r="G196" s="22" t="s">
        <v>358</v>
      </c>
      <c r="I196" s="148"/>
    </row>
    <row r="197" spans="1:9" ht="30">
      <c r="A197" s="50" t="s">
        <v>293</v>
      </c>
      <c r="B197" s="3" t="s">
        <v>176</v>
      </c>
      <c r="C197" s="10">
        <v>28000</v>
      </c>
      <c r="D197" s="19">
        <f>27364+340.65</f>
        <v>27704.65</v>
      </c>
      <c r="E197" s="51">
        <v>35</v>
      </c>
      <c r="F197" s="20">
        <v>7.25</v>
      </c>
      <c r="G197" s="21"/>
      <c r="I197" s="148"/>
    </row>
    <row r="198" spans="1:9" ht="30">
      <c r="A198" s="50" t="s">
        <v>294</v>
      </c>
      <c r="B198" s="3" t="s">
        <v>173</v>
      </c>
      <c r="C198" s="10">
        <v>49000</v>
      </c>
      <c r="D198" s="19">
        <f>652.76+46713.22</f>
        <v>47365.98</v>
      </c>
      <c r="E198" s="51">
        <v>60</v>
      </c>
      <c r="F198" s="20">
        <v>64.900000000000006</v>
      </c>
      <c r="G198" s="21">
        <f>D198</f>
        <v>47365.98</v>
      </c>
      <c r="I198" s="148"/>
    </row>
    <row r="199" spans="1:9">
      <c r="A199" s="50" t="s">
        <v>295</v>
      </c>
      <c r="B199" s="3" t="s">
        <v>224</v>
      </c>
      <c r="C199" s="10">
        <v>40000</v>
      </c>
      <c r="D199" s="19">
        <f>38234.87+530.76</f>
        <v>38765.630000000005</v>
      </c>
      <c r="E199" s="51">
        <v>50</v>
      </c>
      <c r="F199" s="20">
        <v>56.39</v>
      </c>
      <c r="G199" s="21">
        <f>D199</f>
        <v>38765.630000000005</v>
      </c>
      <c r="I199" s="148"/>
    </row>
    <row r="200" spans="1:9">
      <c r="A200" s="50" t="s">
        <v>303</v>
      </c>
      <c r="B200" s="3" t="s">
        <v>225</v>
      </c>
      <c r="C200" s="10">
        <v>49000</v>
      </c>
      <c r="D200" s="19">
        <f>46840.07+652.72</f>
        <v>47492.79</v>
      </c>
      <c r="E200" s="51">
        <v>60</v>
      </c>
      <c r="F200" s="20">
        <f>(0.1054+0.643)*100</f>
        <v>74.839999999999989</v>
      </c>
      <c r="G200" s="21">
        <f>D200</f>
        <v>47492.79</v>
      </c>
      <c r="I200" s="148"/>
    </row>
    <row r="201" spans="1:9" ht="30">
      <c r="A201" s="50" t="s">
        <v>304</v>
      </c>
      <c r="B201" s="3" t="s">
        <v>226</v>
      </c>
      <c r="C201" s="10">
        <v>49000</v>
      </c>
      <c r="D201" s="19">
        <f>46780.98+651.1</f>
        <v>47432.08</v>
      </c>
      <c r="E201" s="20">
        <v>60</v>
      </c>
      <c r="F201" s="20">
        <f>(0.3555+0.3802)*100</f>
        <v>73.570000000000007</v>
      </c>
      <c r="G201" s="21">
        <f>D201</f>
        <v>47432.08</v>
      </c>
      <c r="I201" s="148"/>
    </row>
    <row r="202" spans="1:9" ht="30">
      <c r="A202" s="50" t="s">
        <v>305</v>
      </c>
      <c r="B202" s="3" t="s">
        <v>227</v>
      </c>
      <c r="C202" s="10">
        <v>47000</v>
      </c>
      <c r="D202" s="19">
        <f>44843.48+624.94</f>
        <v>45468.420000000006</v>
      </c>
      <c r="E202" s="51">
        <v>60</v>
      </c>
      <c r="F202" s="20">
        <f>(0.0878+0.6291)*100</f>
        <v>71.69</v>
      </c>
      <c r="G202" s="21">
        <f>D202</f>
        <v>45468.420000000006</v>
      </c>
      <c r="I202" s="148"/>
    </row>
    <row r="203" spans="1:9" ht="30">
      <c r="A203" s="50" t="s">
        <v>306</v>
      </c>
      <c r="B203" s="3" t="s">
        <v>207</v>
      </c>
      <c r="C203" s="10">
        <v>48000</v>
      </c>
      <c r="D203" s="19">
        <f>45753.16+640.68</f>
        <v>46393.840000000004</v>
      </c>
      <c r="E203" s="51">
        <v>60</v>
      </c>
      <c r="F203" s="20">
        <v>14.6</v>
      </c>
      <c r="G203" s="22" t="s">
        <v>358</v>
      </c>
      <c r="I203" s="148"/>
    </row>
    <row r="204" spans="1:9" ht="30">
      <c r="A204" s="50" t="s">
        <v>307</v>
      </c>
      <c r="B204" s="3" t="s">
        <v>209</v>
      </c>
      <c r="C204" s="10">
        <v>49000</v>
      </c>
      <c r="D204" s="19">
        <f>47623.83+664.1</f>
        <v>48287.93</v>
      </c>
      <c r="E204" s="51">
        <v>60</v>
      </c>
      <c r="F204" s="20">
        <v>101.18</v>
      </c>
      <c r="G204" s="22" t="s">
        <v>358</v>
      </c>
      <c r="I204" s="148"/>
    </row>
    <row r="205" spans="1:9" ht="46.5" customHeight="1">
      <c r="A205" s="50" t="s">
        <v>308</v>
      </c>
      <c r="B205" s="3" t="s">
        <v>215</v>
      </c>
      <c r="C205" s="10">
        <v>49000</v>
      </c>
      <c r="D205" s="19" t="s">
        <v>540</v>
      </c>
      <c r="E205" s="51">
        <v>60</v>
      </c>
      <c r="F205" s="20" t="s">
        <v>540</v>
      </c>
      <c r="G205" s="22" t="s">
        <v>358</v>
      </c>
      <c r="I205" s="148"/>
    </row>
    <row r="206" spans="1:9" ht="30">
      <c r="A206" s="50" t="s">
        <v>309</v>
      </c>
      <c r="B206" s="3" t="s">
        <v>222</v>
      </c>
      <c r="C206" s="10">
        <v>49000</v>
      </c>
      <c r="D206" s="19">
        <f>453.22+32556.74</f>
        <v>33009.96</v>
      </c>
      <c r="E206" s="51">
        <v>60</v>
      </c>
      <c r="F206" s="20">
        <f>28.5+23.5</f>
        <v>52</v>
      </c>
      <c r="G206" s="22" t="s">
        <v>358</v>
      </c>
      <c r="I206" s="148"/>
    </row>
    <row r="207" spans="1:9" ht="30">
      <c r="A207" s="50" t="s">
        <v>345</v>
      </c>
      <c r="B207" s="3" t="s">
        <v>250</v>
      </c>
      <c r="C207" s="10">
        <v>49000</v>
      </c>
      <c r="D207" s="19">
        <f>44318.95+602.73</f>
        <v>44921.68</v>
      </c>
      <c r="E207" s="51">
        <v>60</v>
      </c>
      <c r="F207" s="20">
        <v>69.8</v>
      </c>
      <c r="G207" s="21">
        <v>44318.95</v>
      </c>
      <c r="I207" s="148"/>
    </row>
    <row r="208" spans="1:9" ht="30">
      <c r="A208" s="50" t="s">
        <v>313</v>
      </c>
      <c r="B208" s="3" t="s">
        <v>251</v>
      </c>
      <c r="C208" s="10">
        <v>49000</v>
      </c>
      <c r="D208" s="19">
        <f>44839.94+614.15</f>
        <v>45454.090000000004</v>
      </c>
      <c r="E208" s="51">
        <v>60</v>
      </c>
      <c r="F208" s="20">
        <v>67</v>
      </c>
      <c r="G208" s="21">
        <v>44839.94</v>
      </c>
      <c r="I208" s="148"/>
    </row>
    <row r="209" spans="1:9">
      <c r="A209" s="50" t="s">
        <v>310</v>
      </c>
      <c r="B209" s="3" t="s">
        <v>252</v>
      </c>
      <c r="C209" s="10">
        <v>49000</v>
      </c>
      <c r="D209" s="19">
        <f>46801.44+653</f>
        <v>47454.44</v>
      </c>
      <c r="E209" s="51">
        <v>60</v>
      </c>
      <c r="F209" s="20">
        <f>58+73</f>
        <v>131</v>
      </c>
      <c r="G209" s="21"/>
      <c r="I209" s="148"/>
    </row>
    <row r="210" spans="1:9" ht="30">
      <c r="A210" s="50" t="s">
        <v>311</v>
      </c>
      <c r="B210" s="3" t="s">
        <v>253</v>
      </c>
      <c r="C210" s="10">
        <v>49000</v>
      </c>
      <c r="D210" s="19">
        <f>47941.43+592.79</f>
        <v>48534.22</v>
      </c>
      <c r="E210" s="51">
        <v>60</v>
      </c>
      <c r="F210" s="20">
        <v>17.5</v>
      </c>
      <c r="G210" s="21"/>
      <c r="I210" s="148"/>
    </row>
    <row r="211" spans="1:9" ht="30">
      <c r="A211" s="52" t="s">
        <v>312</v>
      </c>
      <c r="B211" s="3" t="s">
        <v>314</v>
      </c>
      <c r="C211" s="11">
        <v>49000</v>
      </c>
      <c r="D211" s="19">
        <f>679.19+47685.23</f>
        <v>48364.420000000006</v>
      </c>
      <c r="E211" s="51">
        <v>60</v>
      </c>
      <c r="F211" s="20">
        <v>530</v>
      </c>
      <c r="G211" s="22" t="s">
        <v>358</v>
      </c>
      <c r="I211" s="148"/>
    </row>
    <row r="212" spans="1:9" ht="30" customHeight="1">
      <c r="A212" s="53" t="s">
        <v>346</v>
      </c>
      <c r="B212" s="8" t="s">
        <v>328</v>
      </c>
      <c r="C212" s="54">
        <v>49000</v>
      </c>
      <c r="D212" s="19">
        <f>47039.87+656.76</f>
        <v>47696.630000000005</v>
      </c>
      <c r="E212" s="55">
        <v>60</v>
      </c>
      <c r="F212" s="20">
        <f>22.1+48.45</f>
        <v>70.550000000000011</v>
      </c>
      <c r="G212" s="21">
        <v>47039.87</v>
      </c>
      <c r="I212" s="148"/>
    </row>
    <row r="213" spans="1:9" ht="30">
      <c r="A213" s="53" t="s">
        <v>333</v>
      </c>
      <c r="B213" s="8" t="s">
        <v>329</v>
      </c>
      <c r="C213" s="54">
        <v>13000</v>
      </c>
      <c r="D213" s="19">
        <v>11067.14</v>
      </c>
      <c r="E213" s="55">
        <v>16</v>
      </c>
      <c r="F213" s="20">
        <v>68</v>
      </c>
      <c r="G213" s="21"/>
      <c r="I213" s="148"/>
    </row>
    <row r="214" spans="1:9" ht="30">
      <c r="A214" s="53" t="s">
        <v>334</v>
      </c>
      <c r="B214" s="8" t="s">
        <v>330</v>
      </c>
      <c r="C214" s="54">
        <v>49000</v>
      </c>
      <c r="D214" s="19">
        <f>33892.35+465.9</f>
        <v>34358.25</v>
      </c>
      <c r="E214" s="55">
        <v>60</v>
      </c>
      <c r="F214" s="20">
        <f>18+0.75+18</f>
        <v>36.75</v>
      </c>
      <c r="G214" s="21">
        <v>33892.35</v>
      </c>
      <c r="I214" s="148"/>
    </row>
    <row r="215" spans="1:9" ht="30">
      <c r="A215" s="56" t="s">
        <v>335</v>
      </c>
      <c r="B215" s="105" t="s">
        <v>331</v>
      </c>
      <c r="C215" s="54">
        <v>49000</v>
      </c>
      <c r="D215" s="19">
        <f>593.18+47725.73</f>
        <v>48318.91</v>
      </c>
      <c r="E215" s="55">
        <v>60</v>
      </c>
      <c r="F215" s="20">
        <v>530.45000000000005</v>
      </c>
      <c r="G215" s="21"/>
      <c r="I215" s="148"/>
    </row>
    <row r="216" spans="1:9" ht="30">
      <c r="A216" s="53" t="s">
        <v>336</v>
      </c>
      <c r="B216" s="83" t="s">
        <v>332</v>
      </c>
      <c r="C216" s="54">
        <v>49000</v>
      </c>
      <c r="D216" s="19">
        <f>46731.69+651.21</f>
        <v>47382.9</v>
      </c>
      <c r="E216" s="55">
        <v>60</v>
      </c>
      <c r="F216" s="20">
        <f>(0.348+0.3144)*100</f>
        <v>66.239999999999995</v>
      </c>
      <c r="G216" s="21">
        <f>D216</f>
        <v>47382.9</v>
      </c>
      <c r="I216" s="148"/>
    </row>
    <row r="217" spans="1:9" ht="30">
      <c r="A217" s="53" t="s">
        <v>337</v>
      </c>
      <c r="B217" s="8" t="s">
        <v>451</v>
      </c>
      <c r="C217" s="54">
        <v>49000</v>
      </c>
      <c r="D217" s="19">
        <f>45451.41+638.05</f>
        <v>46089.460000000006</v>
      </c>
      <c r="E217" s="55">
        <v>60</v>
      </c>
      <c r="F217" s="20">
        <v>43</v>
      </c>
      <c r="G217" s="21"/>
      <c r="I217" s="148"/>
    </row>
    <row r="218" spans="1:9" ht="30">
      <c r="A218" s="53" t="s">
        <v>352</v>
      </c>
      <c r="B218" s="8" t="s">
        <v>351</v>
      </c>
      <c r="C218" s="54">
        <v>49000</v>
      </c>
      <c r="D218" s="19">
        <f>661.91+47287.33</f>
        <v>47949.240000000005</v>
      </c>
      <c r="E218" s="55">
        <v>60</v>
      </c>
      <c r="F218" s="20">
        <f>(0.0738+0.604)*100</f>
        <v>67.78</v>
      </c>
      <c r="G218" s="21"/>
      <c r="I218" s="148"/>
    </row>
    <row r="219" spans="1:9" ht="31.5">
      <c r="A219" s="78" t="s">
        <v>412</v>
      </c>
      <c r="B219" s="106" t="s">
        <v>413</v>
      </c>
      <c r="C219" s="79">
        <v>49000</v>
      </c>
      <c r="D219" s="35">
        <f>44049.73+537.12</f>
        <v>44586.850000000006</v>
      </c>
      <c r="E219" s="80">
        <v>60</v>
      </c>
      <c r="F219" s="20">
        <f>31+21</f>
        <v>52</v>
      </c>
      <c r="G219" s="21"/>
      <c r="I219" s="148"/>
    </row>
    <row r="220" spans="1:9" ht="31.5">
      <c r="A220" s="78" t="s">
        <v>414</v>
      </c>
      <c r="B220" s="107" t="s">
        <v>415</v>
      </c>
      <c r="C220" s="79">
        <v>48000</v>
      </c>
      <c r="D220" s="35">
        <f>45903.37+571.47</f>
        <v>46474.840000000004</v>
      </c>
      <c r="E220" s="80">
        <v>60</v>
      </c>
      <c r="F220" s="20">
        <v>45</v>
      </c>
      <c r="G220" s="21"/>
      <c r="I220" s="148"/>
    </row>
    <row r="221" spans="1:9" ht="31.5">
      <c r="A221" s="78" t="s">
        <v>416</v>
      </c>
      <c r="B221" s="107" t="s">
        <v>417</v>
      </c>
      <c r="C221" s="79">
        <v>49000</v>
      </c>
      <c r="D221" s="35">
        <f>37399.21</f>
        <v>37399.21</v>
      </c>
      <c r="E221" s="80">
        <v>60</v>
      </c>
      <c r="F221" s="20">
        <f>28.99+23.98</f>
        <v>52.97</v>
      </c>
      <c r="G221" s="21"/>
      <c r="I221" s="148"/>
    </row>
    <row r="222" spans="1:9" ht="31.5">
      <c r="A222" s="78" t="s">
        <v>418</v>
      </c>
      <c r="B222" s="107" t="s">
        <v>419</v>
      </c>
      <c r="C222" s="79">
        <v>49000</v>
      </c>
      <c r="D222" s="35">
        <f>46711.6+585.12</f>
        <v>47296.72</v>
      </c>
      <c r="E222" s="80">
        <v>60</v>
      </c>
      <c r="F222" s="20">
        <f>37.21+28.85</f>
        <v>66.06</v>
      </c>
      <c r="G222" s="21"/>
      <c r="I222" s="148"/>
    </row>
    <row r="223" spans="1:9" ht="31.5">
      <c r="A223" s="78" t="s">
        <v>420</v>
      </c>
      <c r="B223" s="107" t="s">
        <v>421</v>
      </c>
      <c r="C223" s="79">
        <v>49000</v>
      </c>
      <c r="D223" s="35">
        <f>46125.47+679.58</f>
        <v>46805.05</v>
      </c>
      <c r="E223" s="80">
        <v>60</v>
      </c>
      <c r="F223" s="20">
        <v>81.510000000000005</v>
      </c>
      <c r="G223" s="21"/>
      <c r="I223" s="148"/>
    </row>
    <row r="224" spans="1:9" ht="31.5">
      <c r="A224" s="78" t="s">
        <v>422</v>
      </c>
      <c r="B224" s="107" t="s">
        <v>423</v>
      </c>
      <c r="C224" s="79">
        <v>48000</v>
      </c>
      <c r="D224" s="35">
        <f>45948.45+653.61</f>
        <v>46602.06</v>
      </c>
      <c r="E224" s="80">
        <v>60</v>
      </c>
      <c r="F224" s="20">
        <f>17.36+49.12</f>
        <v>66.47999999999999</v>
      </c>
      <c r="G224" s="21"/>
      <c r="I224" s="148"/>
    </row>
    <row r="225" spans="1:9" ht="31.5">
      <c r="A225" s="78" t="s">
        <v>424</v>
      </c>
      <c r="B225" s="107" t="s">
        <v>425</v>
      </c>
      <c r="C225" s="79">
        <v>48000</v>
      </c>
      <c r="D225" s="35">
        <f>45585.21+647.04</f>
        <v>46232.25</v>
      </c>
      <c r="E225" s="80">
        <v>60</v>
      </c>
      <c r="F225" s="20">
        <v>62.24</v>
      </c>
      <c r="G225" s="21"/>
      <c r="I225" s="148"/>
    </row>
    <row r="226" spans="1:9" ht="31.5">
      <c r="A226" s="78" t="s">
        <v>426</v>
      </c>
      <c r="B226" s="107" t="s">
        <v>427</v>
      </c>
      <c r="C226" s="79">
        <v>48000</v>
      </c>
      <c r="D226" s="35">
        <f>45887.92+652.87</f>
        <v>46540.79</v>
      </c>
      <c r="E226" s="80">
        <v>60</v>
      </c>
      <c r="F226" s="20">
        <f>21.76+44.35</f>
        <v>66.11</v>
      </c>
      <c r="G226" s="21"/>
      <c r="I226" s="148"/>
    </row>
    <row r="227" spans="1:9" ht="31.5">
      <c r="A227" s="78" t="s">
        <v>428</v>
      </c>
      <c r="B227" s="107" t="s">
        <v>429</v>
      </c>
      <c r="C227" s="79">
        <v>48000</v>
      </c>
      <c r="D227" s="35">
        <f>36956.57+515.13</f>
        <v>37471.699999999997</v>
      </c>
      <c r="E227" s="80">
        <v>60</v>
      </c>
      <c r="F227" s="20">
        <f>23.95+28.7</f>
        <v>52.65</v>
      </c>
      <c r="G227" s="21"/>
      <c r="I227" s="148"/>
    </row>
    <row r="228" spans="1:9" ht="31.5">
      <c r="A228" s="78" t="s">
        <v>430</v>
      </c>
      <c r="B228" s="107" t="s">
        <v>431</v>
      </c>
      <c r="C228" s="79">
        <v>48000</v>
      </c>
      <c r="D228" s="35">
        <f>40882.29+582.73</f>
        <v>41465.020000000004</v>
      </c>
      <c r="E228" s="80">
        <v>60</v>
      </c>
      <c r="F228" s="20">
        <f>22+43.7</f>
        <v>65.7</v>
      </c>
      <c r="G228" s="21"/>
      <c r="I228" s="148"/>
    </row>
    <row r="229" spans="1:9" ht="31.5">
      <c r="A229" s="78" t="s">
        <v>432</v>
      </c>
      <c r="B229" s="107" t="s">
        <v>450</v>
      </c>
      <c r="C229" s="79">
        <v>49000</v>
      </c>
      <c r="D229" s="35">
        <f>48003.53+593.42</f>
        <v>48596.95</v>
      </c>
      <c r="E229" s="80">
        <v>60</v>
      </c>
      <c r="F229" s="20">
        <f>14+55.68</f>
        <v>69.680000000000007</v>
      </c>
      <c r="G229" s="21"/>
      <c r="I229" s="148"/>
    </row>
    <row r="230" spans="1:9" ht="31.5">
      <c r="A230" s="78" t="s">
        <v>433</v>
      </c>
      <c r="B230" s="107" t="s">
        <v>434</v>
      </c>
      <c r="C230" s="79">
        <v>49000</v>
      </c>
      <c r="D230" s="35">
        <f>45309.4+599.78</f>
        <v>45909.18</v>
      </c>
      <c r="E230" s="80">
        <v>60</v>
      </c>
      <c r="F230" s="20">
        <v>40</v>
      </c>
      <c r="G230" s="21"/>
      <c r="I230" s="148"/>
    </row>
    <row r="231" spans="1:9" ht="47.25">
      <c r="A231" s="78" t="s">
        <v>435</v>
      </c>
      <c r="B231" s="106" t="s">
        <v>436</v>
      </c>
      <c r="C231" s="79">
        <v>49000</v>
      </c>
      <c r="D231" s="35" t="s">
        <v>540</v>
      </c>
      <c r="E231" s="80">
        <v>60</v>
      </c>
      <c r="F231" s="20" t="s">
        <v>540</v>
      </c>
      <c r="G231" s="21"/>
      <c r="I231" s="148"/>
    </row>
    <row r="232" spans="1:9" ht="47.25">
      <c r="A232" s="78" t="s">
        <v>437</v>
      </c>
      <c r="B232" s="106" t="s">
        <v>438</v>
      </c>
      <c r="C232" s="79">
        <v>49000</v>
      </c>
      <c r="D232" s="35">
        <f>38381.36+542.32</f>
        <v>38923.68</v>
      </c>
      <c r="E232" s="80">
        <v>60</v>
      </c>
      <c r="F232" s="20">
        <v>27</v>
      </c>
      <c r="G232" s="21"/>
      <c r="I232" s="148"/>
    </row>
    <row r="233" spans="1:9" ht="47.25">
      <c r="A233" s="78" t="s">
        <v>439</v>
      </c>
      <c r="B233" s="124" t="s">
        <v>440</v>
      </c>
      <c r="C233" s="79">
        <v>49000</v>
      </c>
      <c r="D233" s="35">
        <f>41626.96+586.26</f>
        <v>42213.22</v>
      </c>
      <c r="E233" s="80">
        <v>60</v>
      </c>
      <c r="F233" s="20">
        <f>145+26</f>
        <v>171</v>
      </c>
      <c r="G233" s="21"/>
      <c r="I233" s="148"/>
    </row>
    <row r="234" spans="1:9" ht="31.5">
      <c r="A234" s="78" t="s">
        <v>441</v>
      </c>
      <c r="B234" s="107" t="s">
        <v>442</v>
      </c>
      <c r="C234" s="79">
        <v>49000</v>
      </c>
      <c r="D234" s="35" t="s">
        <v>540</v>
      </c>
      <c r="E234" s="80">
        <v>60</v>
      </c>
      <c r="F234" s="20" t="s">
        <v>540</v>
      </c>
      <c r="G234" s="21"/>
      <c r="I234" s="148"/>
    </row>
    <row r="235" spans="1:9" ht="31.5">
      <c r="A235" s="78" t="s">
        <v>443</v>
      </c>
      <c r="B235" s="107" t="s">
        <v>444</v>
      </c>
      <c r="C235" s="79">
        <v>49000</v>
      </c>
      <c r="D235" s="35">
        <f>47577.65+591.41</f>
        <v>48169.060000000005</v>
      </c>
      <c r="E235" s="80">
        <v>60</v>
      </c>
      <c r="F235" s="20">
        <v>237.14</v>
      </c>
      <c r="G235" s="21"/>
      <c r="I235" s="148"/>
    </row>
    <row r="236" spans="1:9" ht="31.5">
      <c r="A236" s="78" t="s">
        <v>445</v>
      </c>
      <c r="B236" s="107" t="s">
        <v>446</v>
      </c>
      <c r="C236" s="79">
        <v>48000</v>
      </c>
      <c r="D236" s="35">
        <f>46051.47+656.52</f>
        <v>46707.99</v>
      </c>
      <c r="E236" s="80">
        <v>60</v>
      </c>
      <c r="F236" s="20">
        <v>68.67</v>
      </c>
      <c r="G236" s="21"/>
      <c r="I236" s="148"/>
    </row>
    <row r="237" spans="1:9" ht="31.5">
      <c r="A237" s="78" t="s">
        <v>447</v>
      </c>
      <c r="B237" s="107" t="s">
        <v>448</v>
      </c>
      <c r="C237" s="79">
        <v>49000</v>
      </c>
      <c r="D237" s="35" t="s">
        <v>540</v>
      </c>
      <c r="E237" s="80">
        <v>60</v>
      </c>
      <c r="F237" s="20" t="s">
        <v>540</v>
      </c>
      <c r="G237" s="21"/>
      <c r="I237" s="148"/>
    </row>
    <row r="238" spans="1:9" ht="31.5">
      <c r="A238" s="76" t="s">
        <v>477</v>
      </c>
      <c r="B238" s="108" t="s">
        <v>155</v>
      </c>
      <c r="C238" s="89">
        <v>49000</v>
      </c>
      <c r="D238" s="16">
        <f>46840.28+586.9</f>
        <v>47427.18</v>
      </c>
      <c r="E238" s="80">
        <v>60</v>
      </c>
      <c r="F238" s="20">
        <f>22+45.75</f>
        <v>67.75</v>
      </c>
      <c r="G238" s="88"/>
      <c r="I238" s="148"/>
    </row>
    <row r="239" spans="1:9" ht="31.5">
      <c r="A239" s="76" t="s">
        <v>478</v>
      </c>
      <c r="B239" s="108" t="s">
        <v>479</v>
      </c>
      <c r="C239" s="89">
        <v>49000</v>
      </c>
      <c r="D239" s="16" t="s">
        <v>540</v>
      </c>
      <c r="E239" s="80">
        <v>60</v>
      </c>
      <c r="F239" s="20" t="s">
        <v>540</v>
      </c>
      <c r="G239" s="88"/>
      <c r="I239" s="148"/>
    </row>
    <row r="240" spans="1:9" ht="31.5">
      <c r="A240" s="76" t="s">
        <v>480</v>
      </c>
      <c r="B240" s="107" t="s">
        <v>481</v>
      </c>
      <c r="C240" s="89">
        <v>49000</v>
      </c>
      <c r="D240" s="16">
        <f>48139.36+596.18</f>
        <v>48735.54</v>
      </c>
      <c r="E240" s="80">
        <v>60</v>
      </c>
      <c r="F240" s="20">
        <v>85.26</v>
      </c>
      <c r="G240" s="88"/>
      <c r="I240" s="148"/>
    </row>
    <row r="241" spans="1:9">
      <c r="A241" s="57"/>
      <c r="B241" s="58" t="s">
        <v>232</v>
      </c>
      <c r="C241" s="4">
        <f>SUM(C99:C240)</f>
        <v>15494400</v>
      </c>
      <c r="D241" s="4">
        <f>SUM(D99:D240)</f>
        <v>14576094.520000003</v>
      </c>
      <c r="E241" s="59"/>
      <c r="F241" s="60"/>
      <c r="G241" s="4">
        <v>5671044.8700000001</v>
      </c>
      <c r="I241" s="148"/>
    </row>
    <row r="242" spans="1:9">
      <c r="A242" s="154" t="s">
        <v>349</v>
      </c>
      <c r="B242" s="155"/>
      <c r="C242" s="155"/>
      <c r="D242" s="155"/>
      <c r="E242" s="155"/>
      <c r="F242" s="155"/>
      <c r="G242" s="156"/>
    </row>
    <row r="243" spans="1:9">
      <c r="A243" s="61" t="s">
        <v>344</v>
      </c>
      <c r="B243" s="20" t="s">
        <v>348</v>
      </c>
      <c r="C243" s="21">
        <v>49000</v>
      </c>
      <c r="D243" s="21">
        <v>48972</v>
      </c>
      <c r="E243" s="20">
        <v>15</v>
      </c>
      <c r="F243" s="20" t="s">
        <v>359</v>
      </c>
      <c r="G243" s="21">
        <v>48972</v>
      </c>
    </row>
    <row r="244" spans="1:9" ht="15.75">
      <c r="A244" s="61" t="s">
        <v>449</v>
      </c>
      <c r="B244" s="20" t="s">
        <v>348</v>
      </c>
      <c r="C244" s="81">
        <v>49000</v>
      </c>
      <c r="D244" s="21">
        <v>49000</v>
      </c>
      <c r="E244" s="76">
        <v>15</v>
      </c>
      <c r="F244" s="20" t="s">
        <v>472</v>
      </c>
      <c r="G244" s="21"/>
    </row>
    <row r="245" spans="1:9">
      <c r="A245" s="62"/>
      <c r="B245" s="58" t="s">
        <v>347</v>
      </c>
      <c r="C245" s="63">
        <f>C243+C244</f>
        <v>98000</v>
      </c>
      <c r="D245" s="63">
        <f>D243+D244</f>
        <v>97972</v>
      </c>
      <c r="E245" s="63"/>
      <c r="F245" s="64"/>
      <c r="G245" s="63">
        <f>G243</f>
        <v>48972</v>
      </c>
    </row>
    <row r="246" spans="1:9">
      <c r="A246" s="65"/>
      <c r="B246" s="66" t="s">
        <v>231</v>
      </c>
      <c r="C246" s="2">
        <f>C245+C241+C97</f>
        <v>59640800</v>
      </c>
      <c r="D246" s="2">
        <f>D245+D241+D97</f>
        <v>56683877.74000001</v>
      </c>
      <c r="E246" s="67"/>
      <c r="F246" s="68"/>
      <c r="G246" s="2">
        <v>28127372.079999998</v>
      </c>
    </row>
    <row r="247" spans="1:9">
      <c r="B247" s="70"/>
      <c r="F247" s="5"/>
    </row>
    <row r="248" spans="1:9" ht="31.5">
      <c r="B248" s="128" t="s">
        <v>535</v>
      </c>
      <c r="C248" s="147"/>
      <c r="D248" t="s">
        <v>605</v>
      </c>
      <c r="E248"/>
      <c r="F248" s="129" t="s">
        <v>536</v>
      </c>
    </row>
    <row r="249" spans="1:9" ht="15.75">
      <c r="B249" s="130"/>
      <c r="C249" s="131"/>
      <c r="D249" s="131"/>
      <c r="E249" s="133"/>
      <c r="F249" s="129"/>
    </row>
    <row r="250" spans="1:9" ht="31.5">
      <c r="B250" s="134" t="s">
        <v>537</v>
      </c>
      <c r="C250" s="131"/>
      <c r="D250" s="132" t="s">
        <v>605</v>
      </c>
      <c r="E250" s="133"/>
      <c r="F250" s="136" t="s">
        <v>538</v>
      </c>
    </row>
    <row r="251" spans="1:9">
      <c r="B251" s="70"/>
      <c r="F251" s="5"/>
    </row>
    <row r="252" spans="1:9">
      <c r="B252" s="70"/>
      <c r="F252" s="5"/>
    </row>
    <row r="253" spans="1:9">
      <c r="B253" s="70"/>
    </row>
    <row r="254" spans="1:9">
      <c r="B254" s="70"/>
    </row>
    <row r="255" spans="1:9">
      <c r="B255" s="70"/>
    </row>
    <row r="256" spans="1:9">
      <c r="B256" s="74"/>
    </row>
    <row r="257" spans="2:2">
      <c r="B257" s="70"/>
    </row>
    <row r="258" spans="2:2">
      <c r="B258" s="74"/>
    </row>
  </sheetData>
  <mergeCells count="5">
    <mergeCell ref="A4:G4"/>
    <mergeCell ref="A98:G98"/>
    <mergeCell ref="A242:G242"/>
    <mergeCell ref="A2:G2"/>
    <mergeCell ref="B1:F1"/>
  </mergeCells>
  <pageMargins left="0" right="0" top="0" bottom="0" header="0" footer="0"/>
  <pageSetup paperSize="9" scale="78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I177"/>
  <sheetViews>
    <sheetView workbookViewId="0">
      <pane ySplit="2" topLeftCell="A3" activePane="bottomLeft" state="frozen"/>
      <selection pane="bottomLeft" activeCell="D5" sqref="D5"/>
    </sheetView>
  </sheetViews>
  <sheetFormatPr defaultRowHeight="15"/>
  <cols>
    <col min="1" max="1" width="9.140625" style="72"/>
    <col min="2" max="2" width="55.5703125" style="12" customWidth="1"/>
    <col min="3" max="3" width="15.7109375" style="12" customWidth="1"/>
    <col min="4" max="4" width="15.42578125" style="12" customWidth="1"/>
    <col min="5" max="6" width="14.7109375" style="12" customWidth="1"/>
    <col min="7" max="7" width="12.28515625" style="12" customWidth="1"/>
    <col min="8" max="8" width="12.7109375" style="12" customWidth="1"/>
    <col min="9" max="9" width="12.42578125" style="12" customWidth="1"/>
    <col min="10" max="16384" width="9.140625" style="12"/>
  </cols>
  <sheetData>
    <row r="2" spans="1:9" ht="28.5">
      <c r="A2" s="115"/>
      <c r="B2" s="97"/>
      <c r="C2" s="90" t="s">
        <v>485</v>
      </c>
      <c r="D2" s="90" t="s">
        <v>486</v>
      </c>
      <c r="E2" s="90" t="s">
        <v>487</v>
      </c>
      <c r="F2" s="90" t="s">
        <v>488</v>
      </c>
      <c r="G2" s="90" t="s">
        <v>489</v>
      </c>
      <c r="H2" s="90" t="s">
        <v>490</v>
      </c>
      <c r="I2" s="103" t="s">
        <v>502</v>
      </c>
    </row>
    <row r="3" spans="1:9" ht="30">
      <c r="A3" s="116" t="s">
        <v>3</v>
      </c>
      <c r="B3" s="82" t="s">
        <v>4</v>
      </c>
      <c r="C3" s="95">
        <f>40+1277+60+11+27+37+40+40+20+20+47+47+505+505+60+440+440+28+28+4+4+50+50+13+13-5-5+19+19-20-20+14+14+3.4+3.4+98+32+9.8+9.8</f>
        <v>3978.4000000000005</v>
      </c>
      <c r="D3" s="95">
        <f>15+830+210+700+53+235+12+74+42+110+160+217+119+153+205.7+154+148+40+30+12+47+116+46</f>
        <v>3728.7</v>
      </c>
      <c r="E3" s="96">
        <f>82+580+1310+110+6+2+50+3+29</f>
        <v>2172</v>
      </c>
      <c r="F3" s="96">
        <f>3+6+11+2+4</f>
        <v>26</v>
      </c>
      <c r="G3" s="96">
        <f>3+6+11+2+4</f>
        <v>26</v>
      </c>
      <c r="H3" s="97"/>
      <c r="I3" s="96">
        <f>35+2+1+1+2</f>
        <v>41</v>
      </c>
    </row>
    <row r="4" spans="1:9" ht="45">
      <c r="A4" s="116" t="s">
        <v>171</v>
      </c>
      <c r="B4" s="3" t="s">
        <v>172</v>
      </c>
      <c r="C4" s="95">
        <v>1816.55</v>
      </c>
      <c r="D4" s="95">
        <v>73</v>
      </c>
      <c r="E4" s="96"/>
      <c r="F4" s="96">
        <v>17</v>
      </c>
      <c r="G4" s="96"/>
      <c r="H4" s="97"/>
      <c r="I4" s="104"/>
    </row>
    <row r="5" spans="1:9" ht="45">
      <c r="A5" s="116" t="s">
        <v>177</v>
      </c>
      <c r="B5" s="3" t="s">
        <v>315</v>
      </c>
      <c r="C5" s="95">
        <v>1660.35</v>
      </c>
      <c r="D5" s="95">
        <v>11.25</v>
      </c>
      <c r="E5" s="96"/>
      <c r="F5" s="96">
        <v>3</v>
      </c>
      <c r="G5" s="96"/>
      <c r="H5" s="97"/>
      <c r="I5" s="104"/>
    </row>
    <row r="6" spans="1:9" ht="45">
      <c r="A6" s="116" t="s">
        <v>178</v>
      </c>
      <c r="B6" s="3" t="s">
        <v>316</v>
      </c>
      <c r="C6" s="95">
        <v>1439</v>
      </c>
      <c r="D6" s="95">
        <v>15</v>
      </c>
      <c r="E6" s="96"/>
      <c r="F6" s="96">
        <v>4</v>
      </c>
      <c r="G6" s="96"/>
      <c r="H6" s="97"/>
      <c r="I6" s="104"/>
    </row>
    <row r="7" spans="1:9" ht="45">
      <c r="A7" s="116" t="s">
        <v>179</v>
      </c>
      <c r="B7" s="3" t="s">
        <v>317</v>
      </c>
      <c r="C7" s="95">
        <v>907.5</v>
      </c>
      <c r="D7" s="95">
        <v>15</v>
      </c>
      <c r="E7" s="96"/>
      <c r="F7" s="96">
        <v>4</v>
      </c>
      <c r="G7" s="96"/>
      <c r="H7" s="97"/>
      <c r="I7" s="104"/>
    </row>
    <row r="8" spans="1:9" ht="45">
      <c r="A8" s="116" t="s">
        <v>180</v>
      </c>
      <c r="B8" s="3" t="s">
        <v>318</v>
      </c>
      <c r="C8" s="95">
        <f>503+420</f>
        <v>923</v>
      </c>
      <c r="D8" s="95">
        <v>17</v>
      </c>
      <c r="E8" s="96"/>
      <c r="F8" s="96">
        <v>4</v>
      </c>
      <c r="G8" s="96"/>
      <c r="H8" s="97"/>
      <c r="I8" s="104"/>
    </row>
    <row r="9" spans="1:9" ht="45">
      <c r="A9" s="116" t="s">
        <v>181</v>
      </c>
      <c r="B9" s="3" t="s">
        <v>319</v>
      </c>
      <c r="C9" s="95">
        <v>375.95</v>
      </c>
      <c r="D9" s="95">
        <v>96</v>
      </c>
      <c r="E9" s="96"/>
      <c r="F9" s="96">
        <v>2</v>
      </c>
      <c r="G9" s="96"/>
      <c r="H9" s="97"/>
      <c r="I9" s="104"/>
    </row>
    <row r="10" spans="1:9" ht="45">
      <c r="A10" s="116" t="s">
        <v>182</v>
      </c>
      <c r="B10" s="3" t="s">
        <v>320</v>
      </c>
      <c r="C10" s="95">
        <v>588</v>
      </c>
      <c r="D10" s="95">
        <v>20</v>
      </c>
      <c r="E10" s="96"/>
      <c r="F10" s="96">
        <v>4</v>
      </c>
      <c r="G10" s="96"/>
      <c r="H10" s="97"/>
      <c r="I10" s="104"/>
    </row>
    <row r="11" spans="1:9" ht="45">
      <c r="A11" s="116" t="s">
        <v>229</v>
      </c>
      <c r="B11" s="3" t="s">
        <v>321</v>
      </c>
      <c r="C11" s="95">
        <v>1120</v>
      </c>
      <c r="D11" s="95">
        <v>21</v>
      </c>
      <c r="E11" s="96"/>
      <c r="F11" s="96">
        <v>5</v>
      </c>
      <c r="G11" s="96">
        <v>6</v>
      </c>
      <c r="H11" s="97"/>
      <c r="I11" s="104"/>
    </row>
    <row r="12" spans="1:9" ht="45">
      <c r="A12" s="116" t="s">
        <v>183</v>
      </c>
      <c r="B12" s="3" t="s">
        <v>322</v>
      </c>
      <c r="C12" s="95">
        <v>785.84</v>
      </c>
      <c r="D12" s="95">
        <v>78</v>
      </c>
      <c r="E12" s="96"/>
      <c r="F12" s="96">
        <v>8</v>
      </c>
      <c r="G12" s="96">
        <v>5</v>
      </c>
      <c r="H12" s="97"/>
      <c r="I12" s="104"/>
    </row>
    <row r="13" spans="1:9" ht="45">
      <c r="A13" s="116" t="s">
        <v>189</v>
      </c>
      <c r="B13" s="3" t="s">
        <v>323</v>
      </c>
      <c r="C13" s="95">
        <v>451.85</v>
      </c>
      <c r="D13" s="95">
        <v>51</v>
      </c>
      <c r="E13" s="96"/>
      <c r="F13" s="96">
        <v>4</v>
      </c>
      <c r="G13" s="96"/>
      <c r="H13" s="97"/>
      <c r="I13" s="104"/>
    </row>
    <row r="14" spans="1:9" ht="30">
      <c r="A14" s="116" t="s">
        <v>190</v>
      </c>
      <c r="B14" s="8" t="s">
        <v>199</v>
      </c>
      <c r="C14" s="95">
        <v>422.62</v>
      </c>
      <c r="D14" s="95"/>
      <c r="E14" s="96"/>
      <c r="F14" s="96"/>
      <c r="G14" s="96"/>
      <c r="H14" s="97"/>
      <c r="I14" s="104"/>
    </row>
    <row r="15" spans="1:9" ht="30">
      <c r="A15" s="116" t="s">
        <v>200</v>
      </c>
      <c r="B15" s="3" t="s">
        <v>202</v>
      </c>
      <c r="C15" s="95">
        <v>1099</v>
      </c>
      <c r="D15" s="95"/>
      <c r="E15" s="96"/>
      <c r="F15" s="96"/>
      <c r="G15" s="96"/>
      <c r="H15" s="97"/>
      <c r="I15" s="104"/>
    </row>
    <row r="16" spans="1:9" ht="30">
      <c r="A16" s="116" t="s">
        <v>213</v>
      </c>
      <c r="B16" s="3" t="s">
        <v>216</v>
      </c>
      <c r="C16" s="95">
        <v>1200</v>
      </c>
      <c r="D16" s="95"/>
      <c r="E16" s="96"/>
      <c r="F16" s="96"/>
      <c r="G16" s="96"/>
      <c r="H16" s="97"/>
      <c r="I16" s="104"/>
    </row>
    <row r="17" spans="1:9" ht="45">
      <c r="A17" s="116" t="s">
        <v>214</v>
      </c>
      <c r="B17" s="3" t="s">
        <v>230</v>
      </c>
      <c r="C17" s="95">
        <v>1311</v>
      </c>
      <c r="D17" s="95">
        <v>22</v>
      </c>
      <c r="E17" s="96"/>
      <c r="F17" s="96">
        <v>6</v>
      </c>
      <c r="G17" s="96">
        <v>6</v>
      </c>
      <c r="H17" s="97"/>
      <c r="I17" s="104"/>
    </row>
    <row r="18" spans="1:9" ht="30">
      <c r="A18" s="116" t="s">
        <v>223</v>
      </c>
      <c r="B18" s="3" t="s">
        <v>249</v>
      </c>
      <c r="C18" s="95">
        <v>866</v>
      </c>
      <c r="D18" s="95"/>
      <c r="E18" s="96"/>
      <c r="F18" s="96"/>
      <c r="G18" s="96"/>
      <c r="H18" s="97"/>
      <c r="I18" s="104"/>
    </row>
    <row r="19" spans="1:9" ht="45">
      <c r="A19" s="116" t="s">
        <v>255</v>
      </c>
      <c r="B19" s="3" t="s">
        <v>254</v>
      </c>
      <c r="C19" s="95">
        <v>803</v>
      </c>
      <c r="D19" s="95">
        <v>21</v>
      </c>
      <c r="E19" s="96"/>
      <c r="F19" s="96"/>
      <c r="G19" s="96"/>
      <c r="H19" s="97"/>
      <c r="I19" s="104"/>
    </row>
    <row r="20" spans="1:9" ht="45">
      <c r="A20" s="116" t="s">
        <v>259</v>
      </c>
      <c r="B20" s="83" t="s">
        <v>256</v>
      </c>
      <c r="C20" s="95"/>
      <c r="D20" s="95">
        <v>86.5</v>
      </c>
      <c r="E20" s="96">
        <v>100</v>
      </c>
      <c r="F20" s="96">
        <v>4</v>
      </c>
      <c r="G20" s="96">
        <v>3</v>
      </c>
      <c r="H20" s="97"/>
      <c r="I20" s="104"/>
    </row>
    <row r="21" spans="1:9" ht="45">
      <c r="A21" s="116" t="s">
        <v>260</v>
      </c>
      <c r="B21" s="8" t="s">
        <v>280</v>
      </c>
      <c r="C21" s="95">
        <v>795.2</v>
      </c>
      <c r="D21" s="95"/>
      <c r="E21" s="96"/>
      <c r="F21" s="96"/>
      <c r="G21" s="96"/>
      <c r="H21" s="97"/>
      <c r="I21" s="104"/>
    </row>
    <row r="22" spans="1:9" ht="48.75" customHeight="1">
      <c r="A22" s="116" t="s">
        <v>261</v>
      </c>
      <c r="B22" s="8" t="s">
        <v>257</v>
      </c>
      <c r="C22" s="95">
        <v>260</v>
      </c>
      <c r="D22" s="95">
        <v>120.45</v>
      </c>
      <c r="E22" s="96"/>
      <c r="F22" s="96">
        <v>4</v>
      </c>
      <c r="G22" s="96">
        <v>4</v>
      </c>
      <c r="H22" s="97"/>
      <c r="I22" s="104"/>
    </row>
    <row r="23" spans="1:9" ht="45">
      <c r="A23" s="116" t="s">
        <v>262</v>
      </c>
      <c r="B23" s="8" t="s">
        <v>326</v>
      </c>
      <c r="C23" s="95">
        <v>503</v>
      </c>
      <c r="D23" s="95">
        <v>208</v>
      </c>
      <c r="E23" s="96"/>
      <c r="F23" s="96">
        <v>4</v>
      </c>
      <c r="G23" s="96">
        <v>4</v>
      </c>
      <c r="H23" s="97"/>
      <c r="I23" s="104"/>
    </row>
    <row r="24" spans="1:9" ht="45">
      <c r="A24" s="116" t="s">
        <v>263</v>
      </c>
      <c r="B24" s="8" t="s">
        <v>325</v>
      </c>
      <c r="C24" s="95"/>
      <c r="D24" s="95">
        <v>392.2</v>
      </c>
      <c r="E24" s="96"/>
      <c r="F24" s="96">
        <v>4</v>
      </c>
      <c r="G24" s="96">
        <v>4</v>
      </c>
      <c r="H24" s="97"/>
      <c r="I24" s="104"/>
    </row>
    <row r="25" spans="1:9" ht="45">
      <c r="A25" s="116" t="s">
        <v>264</v>
      </c>
      <c r="B25" s="83" t="s">
        <v>324</v>
      </c>
      <c r="C25" s="95">
        <v>467</v>
      </c>
      <c r="D25" s="95">
        <v>130</v>
      </c>
      <c r="E25" s="96"/>
      <c r="F25" s="96">
        <v>4</v>
      </c>
      <c r="G25" s="96">
        <v>4</v>
      </c>
      <c r="H25" s="97"/>
      <c r="I25" s="104"/>
    </row>
    <row r="26" spans="1:9" ht="45">
      <c r="A26" s="116" t="s">
        <v>265</v>
      </c>
      <c r="B26" s="8" t="s">
        <v>327</v>
      </c>
      <c r="C26" s="95">
        <v>1750</v>
      </c>
      <c r="D26" s="95"/>
      <c r="E26" s="96"/>
      <c r="F26" s="96"/>
      <c r="G26" s="96"/>
      <c r="H26" s="97"/>
      <c r="I26" s="104"/>
    </row>
    <row r="27" spans="1:9" ht="30">
      <c r="A27" s="116" t="s">
        <v>266</v>
      </c>
      <c r="B27" s="83" t="s">
        <v>258</v>
      </c>
      <c r="C27" s="95">
        <v>400</v>
      </c>
      <c r="D27" s="95">
        <v>829</v>
      </c>
      <c r="E27" s="96">
        <v>83</v>
      </c>
      <c r="F27" s="96">
        <v>20</v>
      </c>
      <c r="G27" s="96"/>
      <c r="H27" s="96">
        <v>10</v>
      </c>
      <c r="I27" s="104"/>
    </row>
    <row r="28" spans="1:9" ht="30">
      <c r="A28" s="116" t="s">
        <v>391</v>
      </c>
      <c r="B28" s="8" t="s">
        <v>392</v>
      </c>
      <c r="C28" s="95">
        <v>4655.6000000000004</v>
      </c>
      <c r="D28" s="95"/>
      <c r="E28" s="96"/>
      <c r="F28" s="96"/>
      <c r="G28" s="96"/>
      <c r="H28" s="97"/>
      <c r="I28" s="104"/>
    </row>
    <row r="29" spans="1:9" ht="45">
      <c r="A29" s="116" t="s">
        <v>394</v>
      </c>
      <c r="B29" s="8" t="s">
        <v>395</v>
      </c>
      <c r="C29" s="95">
        <v>181.3</v>
      </c>
      <c r="D29" s="95">
        <v>39</v>
      </c>
      <c r="E29" s="96"/>
      <c r="F29" s="96">
        <v>2</v>
      </c>
      <c r="G29" s="96"/>
      <c r="H29" s="97"/>
      <c r="I29" s="104"/>
    </row>
    <row r="30" spans="1:9" ht="45">
      <c r="A30" s="116" t="s">
        <v>397</v>
      </c>
      <c r="B30" s="8" t="s">
        <v>398</v>
      </c>
      <c r="C30" s="95">
        <v>1100</v>
      </c>
      <c r="D30" s="95"/>
      <c r="E30" s="96"/>
      <c r="F30" s="96"/>
      <c r="G30" s="96"/>
      <c r="H30" s="97"/>
      <c r="I30" s="104"/>
    </row>
    <row r="31" spans="1:9" ht="30">
      <c r="A31" s="116" t="s">
        <v>400</v>
      </c>
      <c r="B31" s="8" t="s">
        <v>401</v>
      </c>
      <c r="C31" s="95">
        <v>350</v>
      </c>
      <c r="D31" s="95"/>
      <c r="E31" s="96"/>
      <c r="F31" s="96"/>
      <c r="G31" s="96"/>
      <c r="H31" s="97"/>
      <c r="I31" s="104"/>
    </row>
    <row r="32" spans="1:9" ht="45">
      <c r="A32" s="116" t="s">
        <v>403</v>
      </c>
      <c r="B32" s="8" t="s">
        <v>482</v>
      </c>
      <c r="C32" s="95"/>
      <c r="D32" s="95">
        <v>120</v>
      </c>
      <c r="E32" s="96"/>
      <c r="F32" s="96"/>
      <c r="G32" s="96"/>
      <c r="H32" s="97"/>
      <c r="I32" s="104"/>
    </row>
    <row r="33" spans="1:9" ht="30">
      <c r="A33" s="116" t="s">
        <v>406</v>
      </c>
      <c r="B33" s="8" t="s">
        <v>407</v>
      </c>
      <c r="C33" s="95">
        <v>1596.87</v>
      </c>
      <c r="D33" s="95"/>
      <c r="E33" s="96"/>
      <c r="F33" s="96"/>
      <c r="G33" s="96"/>
      <c r="H33" s="97"/>
      <c r="I33" s="104"/>
    </row>
    <row r="34" spans="1:9" ht="30">
      <c r="A34" s="116" t="s">
        <v>409</v>
      </c>
      <c r="B34" s="8" t="s">
        <v>410</v>
      </c>
      <c r="C34" s="95">
        <v>1646</v>
      </c>
      <c r="D34" s="95">
        <v>820</v>
      </c>
      <c r="E34" s="96">
        <v>12</v>
      </c>
      <c r="F34" s="96"/>
      <c r="G34" s="96"/>
      <c r="H34" s="97"/>
      <c r="I34" s="104"/>
    </row>
    <row r="35" spans="1:9" ht="30">
      <c r="A35" s="116" t="s">
        <v>473</v>
      </c>
      <c r="B35" s="126" t="s">
        <v>483</v>
      </c>
      <c r="C35" s="95"/>
      <c r="D35" s="95">
        <v>50</v>
      </c>
      <c r="E35" s="96"/>
      <c r="F35" s="96"/>
      <c r="G35" s="96"/>
      <c r="H35" s="97"/>
      <c r="I35" s="104"/>
    </row>
    <row r="36" spans="1:9" ht="30">
      <c r="A36" s="116" t="s">
        <v>474</v>
      </c>
      <c r="B36" s="127" t="s">
        <v>484</v>
      </c>
      <c r="C36" s="95"/>
      <c r="D36" s="95">
        <v>11.8</v>
      </c>
      <c r="E36" s="96"/>
      <c r="F36" s="96"/>
      <c r="G36" s="96"/>
      <c r="H36" s="97"/>
      <c r="I36" s="104"/>
    </row>
    <row r="37" spans="1:9">
      <c r="A37" s="116"/>
      <c r="B37" s="100" t="s">
        <v>500</v>
      </c>
      <c r="C37" s="101">
        <f>SUM(C3:C36)</f>
        <v>33453.030000000006</v>
      </c>
      <c r="D37" s="101">
        <f t="shared" ref="D37:I37" si="0">SUM(D3:D36)</f>
        <v>6975.9</v>
      </c>
      <c r="E37" s="102">
        <f t="shared" si="0"/>
        <v>2367</v>
      </c>
      <c r="F37" s="102">
        <f t="shared" si="0"/>
        <v>129</v>
      </c>
      <c r="G37" s="102">
        <f t="shared" si="0"/>
        <v>62</v>
      </c>
      <c r="H37" s="102">
        <f t="shared" si="0"/>
        <v>10</v>
      </c>
      <c r="I37" s="102">
        <f t="shared" si="0"/>
        <v>41</v>
      </c>
    </row>
    <row r="38" spans="1:9" ht="30">
      <c r="A38" s="116" t="s">
        <v>6</v>
      </c>
      <c r="B38" s="82" t="s">
        <v>7</v>
      </c>
      <c r="C38" s="95">
        <f>(0.584+0.15)*100</f>
        <v>73.400000000000006</v>
      </c>
      <c r="D38" s="95"/>
      <c r="E38" s="95"/>
      <c r="F38" s="96"/>
      <c r="G38" s="96"/>
      <c r="H38" s="96"/>
      <c r="I38" s="104"/>
    </row>
    <row r="39" spans="1:9" ht="30">
      <c r="A39" s="116" t="s">
        <v>8</v>
      </c>
      <c r="B39" s="82" t="s">
        <v>491</v>
      </c>
      <c r="C39" s="95">
        <f>(0.584+0.1515)*100</f>
        <v>73.55</v>
      </c>
      <c r="D39" s="95"/>
      <c r="E39" s="95"/>
      <c r="F39" s="96"/>
      <c r="G39" s="96"/>
      <c r="H39" s="96"/>
      <c r="I39" s="104"/>
    </row>
    <row r="40" spans="1:9" ht="30">
      <c r="A40" s="116" t="s">
        <v>9</v>
      </c>
      <c r="B40" s="3" t="s">
        <v>492</v>
      </c>
      <c r="C40" s="95">
        <f>25.2+47.77</f>
        <v>72.97</v>
      </c>
      <c r="D40" s="95"/>
      <c r="E40" s="95"/>
      <c r="F40" s="96"/>
      <c r="G40" s="96"/>
      <c r="H40" s="96"/>
      <c r="I40" s="104"/>
    </row>
    <row r="41" spans="1:9" ht="30">
      <c r="A41" s="116" t="s">
        <v>10</v>
      </c>
      <c r="B41" s="91" t="s">
        <v>493</v>
      </c>
      <c r="C41" s="95">
        <v>73.900000000000006</v>
      </c>
      <c r="D41" s="95"/>
      <c r="E41" s="95"/>
      <c r="F41" s="96"/>
      <c r="G41" s="96"/>
      <c r="H41" s="96"/>
      <c r="I41" s="104"/>
    </row>
    <row r="42" spans="1:9" ht="30">
      <c r="A42" s="116" t="s">
        <v>11</v>
      </c>
      <c r="B42" s="91" t="s">
        <v>494</v>
      </c>
      <c r="C42" s="95">
        <f>60.76+10.92</f>
        <v>71.679999999999993</v>
      </c>
      <c r="D42" s="95"/>
      <c r="E42" s="95"/>
      <c r="F42" s="96"/>
      <c r="G42" s="96"/>
      <c r="H42" s="96"/>
      <c r="I42" s="104"/>
    </row>
    <row r="43" spans="1:9" ht="30">
      <c r="A43" s="116" t="s">
        <v>12</v>
      </c>
      <c r="B43" s="91" t="s">
        <v>13</v>
      </c>
      <c r="C43" s="95">
        <v>69.599999999999994</v>
      </c>
      <c r="D43" s="95"/>
      <c r="E43" s="95"/>
      <c r="F43" s="96"/>
      <c r="G43" s="96"/>
      <c r="H43" s="96"/>
      <c r="I43" s="104"/>
    </row>
    <row r="44" spans="1:9" ht="30">
      <c r="A44" s="116" t="s">
        <v>14</v>
      </c>
      <c r="B44" s="91" t="s">
        <v>15</v>
      </c>
      <c r="C44" s="95">
        <f>(0.2337+0.5033)*100</f>
        <v>73.7</v>
      </c>
      <c r="D44" s="95"/>
      <c r="E44" s="95"/>
      <c r="F44" s="96"/>
      <c r="G44" s="96"/>
      <c r="H44" s="96"/>
      <c r="I44" s="104"/>
    </row>
    <row r="45" spans="1:9" ht="30">
      <c r="A45" s="116" t="s">
        <v>16</v>
      </c>
      <c r="B45" s="91" t="s">
        <v>17</v>
      </c>
      <c r="C45" s="95">
        <f>(0.362+0.37)*100</f>
        <v>73.2</v>
      </c>
      <c r="D45" s="95"/>
      <c r="E45" s="95"/>
      <c r="F45" s="96"/>
      <c r="G45" s="96"/>
      <c r="H45" s="96"/>
      <c r="I45" s="104"/>
    </row>
    <row r="46" spans="1:9" ht="30">
      <c r="A46" s="116" t="s">
        <v>18</v>
      </c>
      <c r="B46" s="91" t="s">
        <v>364</v>
      </c>
      <c r="C46" s="95">
        <v>68.650000000000006</v>
      </c>
      <c r="D46" s="95"/>
      <c r="E46" s="95"/>
      <c r="F46" s="96"/>
      <c r="G46" s="96"/>
      <c r="H46" s="96"/>
      <c r="I46" s="104"/>
    </row>
    <row r="47" spans="1:9" ht="30">
      <c r="A47" s="116" t="s">
        <v>19</v>
      </c>
      <c r="B47" s="91" t="s">
        <v>159</v>
      </c>
      <c r="C47" s="95">
        <f>25+13+48.3</f>
        <v>86.3</v>
      </c>
      <c r="D47" s="95"/>
      <c r="E47" s="95"/>
      <c r="F47" s="96"/>
      <c r="G47" s="96"/>
      <c r="H47" s="96"/>
      <c r="I47" s="104"/>
    </row>
    <row r="48" spans="1:9" ht="30">
      <c r="A48" s="116" t="s">
        <v>20</v>
      </c>
      <c r="B48" s="91" t="s">
        <v>21</v>
      </c>
      <c r="C48" s="95">
        <f>(0.3185+0.445)*100</f>
        <v>76.350000000000009</v>
      </c>
      <c r="D48" s="95"/>
      <c r="E48" s="95"/>
      <c r="F48" s="96"/>
      <c r="G48" s="96"/>
      <c r="H48" s="96"/>
      <c r="I48" s="104"/>
    </row>
    <row r="49" spans="1:9" ht="30">
      <c r="A49" s="116" t="s">
        <v>22</v>
      </c>
      <c r="B49" s="91" t="s">
        <v>23</v>
      </c>
      <c r="C49" s="95">
        <f>(0.5492+0.1926)*100</f>
        <v>74.180000000000007</v>
      </c>
      <c r="D49" s="95"/>
      <c r="E49" s="95"/>
      <c r="F49" s="96"/>
      <c r="G49" s="96"/>
      <c r="H49" s="96"/>
      <c r="I49" s="104"/>
    </row>
    <row r="50" spans="1:9" ht="30">
      <c r="A50" s="116" t="s">
        <v>24</v>
      </c>
      <c r="B50" s="91" t="s">
        <v>25</v>
      </c>
      <c r="C50" s="95">
        <f>(0.1895+0.5855)*100</f>
        <v>77.5</v>
      </c>
      <c r="D50" s="95"/>
      <c r="E50" s="95"/>
      <c r="F50" s="96"/>
      <c r="G50" s="96"/>
      <c r="H50" s="96"/>
      <c r="I50" s="104"/>
    </row>
    <row r="51" spans="1:9" ht="30">
      <c r="A51" s="116" t="s">
        <v>26</v>
      </c>
      <c r="B51" s="91" t="s">
        <v>163</v>
      </c>
      <c r="C51" s="95">
        <f>10+33.5+27.5</f>
        <v>71</v>
      </c>
      <c r="D51" s="95"/>
      <c r="E51" s="95"/>
      <c r="F51" s="96"/>
      <c r="G51" s="96"/>
      <c r="H51" s="96"/>
      <c r="I51" s="104"/>
    </row>
    <row r="52" spans="1:9" ht="30">
      <c r="A52" s="116" t="s">
        <v>27</v>
      </c>
      <c r="B52" s="91" t="s">
        <v>28</v>
      </c>
      <c r="C52" s="95">
        <v>71</v>
      </c>
      <c r="D52" s="95"/>
      <c r="E52" s="95"/>
      <c r="F52" s="96"/>
      <c r="G52" s="96"/>
      <c r="H52" s="96"/>
      <c r="I52" s="104"/>
    </row>
    <row r="53" spans="1:9" ht="30">
      <c r="A53" s="116" t="s">
        <v>29</v>
      </c>
      <c r="B53" s="3" t="s">
        <v>158</v>
      </c>
      <c r="C53" s="95">
        <v>175</v>
      </c>
      <c r="D53" s="95"/>
      <c r="E53" s="95"/>
      <c r="F53" s="96"/>
      <c r="G53" s="96"/>
      <c r="H53" s="96"/>
      <c r="I53" s="104"/>
    </row>
    <row r="54" spans="1:9" ht="30">
      <c r="A54" s="116" t="s">
        <v>30</v>
      </c>
      <c r="B54" s="91" t="s">
        <v>31</v>
      </c>
      <c r="C54" s="95">
        <f>(0.0342+0.65)*100</f>
        <v>68.42</v>
      </c>
      <c r="D54" s="95"/>
      <c r="E54" s="95"/>
      <c r="F54" s="96"/>
      <c r="G54" s="96"/>
      <c r="H54" s="96"/>
      <c r="I54" s="104"/>
    </row>
    <row r="55" spans="1:9" ht="30">
      <c r="A55" s="116" t="s">
        <v>32</v>
      </c>
      <c r="B55" s="3" t="s">
        <v>33</v>
      </c>
      <c r="C55" s="95">
        <v>82.8</v>
      </c>
      <c r="D55" s="95"/>
      <c r="E55" s="95"/>
      <c r="F55" s="96"/>
      <c r="G55" s="96"/>
      <c r="H55" s="96"/>
      <c r="I55" s="104"/>
    </row>
    <row r="56" spans="1:9" ht="30">
      <c r="A56" s="116" t="s">
        <v>34</v>
      </c>
      <c r="B56" s="91" t="s">
        <v>35</v>
      </c>
      <c r="C56" s="95">
        <f>(0.1802+0.4247)*100</f>
        <v>60.49</v>
      </c>
      <c r="D56" s="95"/>
      <c r="E56" s="95"/>
      <c r="F56" s="96"/>
      <c r="G56" s="96"/>
      <c r="H56" s="96"/>
      <c r="I56" s="104"/>
    </row>
    <row r="57" spans="1:9" ht="30">
      <c r="A57" s="116" t="s">
        <v>36</v>
      </c>
      <c r="B57" s="91" t="s">
        <v>37</v>
      </c>
      <c r="C57" s="95">
        <v>69.3</v>
      </c>
      <c r="D57" s="95"/>
      <c r="E57" s="95"/>
      <c r="F57" s="96"/>
      <c r="G57" s="96"/>
      <c r="H57" s="96"/>
      <c r="I57" s="104"/>
    </row>
    <row r="58" spans="1:9" ht="30">
      <c r="A58" s="116" t="s">
        <v>38</v>
      </c>
      <c r="B58" s="91" t="s">
        <v>39</v>
      </c>
      <c r="C58" s="95">
        <f>(0.0864+0.6025)*100</f>
        <v>68.89</v>
      </c>
      <c r="D58" s="95"/>
      <c r="E58" s="95"/>
      <c r="F58" s="96"/>
      <c r="G58" s="96"/>
      <c r="H58" s="96"/>
      <c r="I58" s="104"/>
    </row>
    <row r="59" spans="1:9" ht="30">
      <c r="A59" s="116" t="s">
        <v>40</v>
      </c>
      <c r="B59" s="91" t="s">
        <v>41</v>
      </c>
      <c r="C59" s="95">
        <f>(0.5623+0.1467)*100</f>
        <v>70.900000000000006</v>
      </c>
      <c r="D59" s="95"/>
      <c r="E59" s="95"/>
      <c r="F59" s="96"/>
      <c r="G59" s="96"/>
      <c r="H59" s="96"/>
      <c r="I59" s="104"/>
    </row>
    <row r="60" spans="1:9" ht="30">
      <c r="A60" s="116" t="s">
        <v>42</v>
      </c>
      <c r="B60" s="91" t="s">
        <v>43</v>
      </c>
      <c r="C60" s="95">
        <f>(0.5413+0.168)*100</f>
        <v>70.930000000000007</v>
      </c>
      <c r="D60" s="95"/>
      <c r="E60" s="95"/>
      <c r="F60" s="96"/>
      <c r="G60" s="96"/>
      <c r="H60" s="96"/>
      <c r="I60" s="104"/>
    </row>
    <row r="61" spans="1:9" ht="30">
      <c r="A61" s="116" t="s">
        <v>44</v>
      </c>
      <c r="B61" s="91" t="s">
        <v>45</v>
      </c>
      <c r="C61" s="95">
        <v>266.3</v>
      </c>
      <c r="D61" s="95"/>
      <c r="E61" s="95"/>
      <c r="F61" s="96"/>
      <c r="G61" s="96"/>
      <c r="H61" s="96"/>
      <c r="I61" s="104"/>
    </row>
    <row r="62" spans="1:9" ht="60">
      <c r="A62" s="116" t="s">
        <v>46</v>
      </c>
      <c r="B62" s="3" t="s">
        <v>47</v>
      </c>
      <c r="C62" s="95">
        <v>213.21</v>
      </c>
      <c r="D62" s="95"/>
      <c r="E62" s="95"/>
      <c r="F62" s="96"/>
      <c r="G62" s="96"/>
      <c r="H62" s="96"/>
      <c r="I62" s="104"/>
    </row>
    <row r="63" spans="1:9" ht="30">
      <c r="A63" s="116" t="s">
        <v>48</v>
      </c>
      <c r="B63" s="3" t="s">
        <v>49</v>
      </c>
      <c r="C63" s="95">
        <f>3+14+43.74</f>
        <v>60.74</v>
      </c>
      <c r="D63" s="95"/>
      <c r="E63" s="95"/>
      <c r="F63" s="96"/>
      <c r="G63" s="96"/>
      <c r="H63" s="96"/>
      <c r="I63" s="104"/>
    </row>
    <row r="64" spans="1:9" ht="30">
      <c r="A64" s="116" t="s">
        <v>50</v>
      </c>
      <c r="B64" s="92" t="s">
        <v>51</v>
      </c>
      <c r="C64" s="95">
        <v>297.82</v>
      </c>
      <c r="D64" s="95"/>
      <c r="E64" s="95"/>
      <c r="F64" s="96"/>
      <c r="G64" s="96"/>
      <c r="H64" s="96"/>
      <c r="I64" s="104"/>
    </row>
    <row r="65" spans="1:9" ht="30">
      <c r="A65" s="116" t="s">
        <v>52</v>
      </c>
      <c r="B65" s="92" t="s">
        <v>53</v>
      </c>
      <c r="C65" s="95">
        <v>295.8</v>
      </c>
      <c r="D65" s="95"/>
      <c r="E65" s="95"/>
      <c r="F65" s="96"/>
      <c r="G65" s="96"/>
      <c r="H65" s="96"/>
      <c r="I65" s="104"/>
    </row>
    <row r="66" spans="1:9" ht="45">
      <c r="A66" s="116" t="s">
        <v>54</v>
      </c>
      <c r="B66" s="3" t="s">
        <v>55</v>
      </c>
      <c r="C66" s="95">
        <v>445.17</v>
      </c>
      <c r="D66" s="95"/>
      <c r="E66" s="95"/>
      <c r="F66" s="96"/>
      <c r="G66" s="96"/>
      <c r="H66" s="96"/>
      <c r="I66" s="104"/>
    </row>
    <row r="67" spans="1:9" ht="30">
      <c r="A67" s="116" t="s">
        <v>56</v>
      </c>
      <c r="B67" s="92" t="s">
        <v>57</v>
      </c>
      <c r="C67" s="95">
        <v>69.19</v>
      </c>
      <c r="D67" s="95"/>
      <c r="E67" s="95"/>
      <c r="F67" s="96"/>
      <c r="G67" s="96"/>
      <c r="H67" s="96"/>
      <c r="I67" s="104"/>
    </row>
    <row r="68" spans="1:9" ht="30">
      <c r="A68" s="116" t="s">
        <v>58</v>
      </c>
      <c r="B68" s="3" t="s">
        <v>59</v>
      </c>
      <c r="C68" s="95">
        <f>17+79</f>
        <v>96</v>
      </c>
      <c r="D68" s="95"/>
      <c r="E68" s="95"/>
      <c r="F68" s="96"/>
      <c r="G68" s="96"/>
      <c r="H68" s="96"/>
      <c r="I68" s="104"/>
    </row>
    <row r="69" spans="1:9" ht="30">
      <c r="A69" s="116" t="s">
        <v>60</v>
      </c>
      <c r="B69" s="3" t="s">
        <v>162</v>
      </c>
      <c r="C69" s="95">
        <f>35+32.5</f>
        <v>67.5</v>
      </c>
      <c r="D69" s="95"/>
      <c r="E69" s="95"/>
      <c r="F69" s="96"/>
      <c r="G69" s="96"/>
      <c r="H69" s="96"/>
      <c r="I69" s="104"/>
    </row>
    <row r="70" spans="1:9" ht="30">
      <c r="A70" s="116" t="s">
        <v>61</v>
      </c>
      <c r="B70" s="92" t="s">
        <v>62</v>
      </c>
      <c r="C70" s="95">
        <f>(0.0996+0.646)*100</f>
        <v>74.56</v>
      </c>
      <c r="D70" s="95"/>
      <c r="E70" s="95"/>
      <c r="F70" s="96"/>
      <c r="G70" s="96"/>
      <c r="H70" s="96"/>
      <c r="I70" s="104"/>
    </row>
    <row r="71" spans="1:9" ht="30">
      <c r="A71" s="116" t="s">
        <v>65</v>
      </c>
      <c r="B71" s="92" t="s">
        <v>495</v>
      </c>
      <c r="C71" s="95">
        <f>(0.1083+0.578)*100</f>
        <v>68.63</v>
      </c>
      <c r="D71" s="95"/>
      <c r="E71" s="95"/>
      <c r="F71" s="96"/>
      <c r="G71" s="96"/>
      <c r="H71" s="96"/>
      <c r="I71" s="104"/>
    </row>
    <row r="72" spans="1:9" ht="30">
      <c r="A72" s="116" t="s">
        <v>66</v>
      </c>
      <c r="B72" s="92" t="s">
        <v>121</v>
      </c>
      <c r="C72" s="95">
        <f>(0.4972+0.2183)*100</f>
        <v>71.55</v>
      </c>
      <c r="D72" s="95"/>
      <c r="E72" s="95"/>
      <c r="F72" s="96"/>
      <c r="G72" s="96"/>
      <c r="H72" s="96"/>
      <c r="I72" s="104"/>
    </row>
    <row r="73" spans="1:9" ht="30">
      <c r="A73" s="116" t="s">
        <v>67</v>
      </c>
      <c r="B73" s="92" t="s">
        <v>122</v>
      </c>
      <c r="C73" s="95">
        <f>(0.694)*100</f>
        <v>69.399999999999991</v>
      </c>
      <c r="D73" s="95"/>
      <c r="E73" s="95"/>
      <c r="F73" s="96"/>
      <c r="G73" s="96"/>
      <c r="H73" s="96"/>
      <c r="I73" s="104"/>
    </row>
    <row r="74" spans="1:9" ht="30">
      <c r="A74" s="116" t="s">
        <v>68</v>
      </c>
      <c r="B74" s="3" t="s">
        <v>70</v>
      </c>
      <c r="C74" s="95">
        <v>342.76</v>
      </c>
      <c r="D74" s="95"/>
      <c r="E74" s="95"/>
      <c r="F74" s="96"/>
      <c r="G74" s="96"/>
      <c r="H74" s="96"/>
      <c r="I74" s="104"/>
    </row>
    <row r="75" spans="1:9" ht="30">
      <c r="A75" s="116" t="s">
        <v>69</v>
      </c>
      <c r="B75" s="92" t="s">
        <v>123</v>
      </c>
      <c r="C75" s="95">
        <v>70</v>
      </c>
      <c r="D75" s="95"/>
      <c r="E75" s="95"/>
      <c r="F75" s="96"/>
      <c r="G75" s="96"/>
      <c r="H75" s="96"/>
      <c r="I75" s="104"/>
    </row>
    <row r="76" spans="1:9" ht="30">
      <c r="A76" s="116" t="s">
        <v>74</v>
      </c>
      <c r="B76" s="3" t="s">
        <v>77</v>
      </c>
      <c r="C76" s="37">
        <f>9+6+73.99</f>
        <v>88.99</v>
      </c>
      <c r="D76" s="95"/>
      <c r="E76" s="95"/>
      <c r="F76" s="96"/>
      <c r="G76" s="96"/>
      <c r="H76" s="96"/>
      <c r="I76" s="104"/>
    </row>
    <row r="77" spans="1:9" ht="30">
      <c r="A77" s="116" t="s">
        <v>76</v>
      </c>
      <c r="B77" s="92" t="s">
        <v>79</v>
      </c>
      <c r="C77" s="95">
        <v>94.1</v>
      </c>
      <c r="D77" s="95"/>
      <c r="E77" s="95"/>
      <c r="F77" s="96"/>
      <c r="G77" s="96"/>
      <c r="H77" s="96"/>
      <c r="I77" s="104"/>
    </row>
    <row r="78" spans="1:9" ht="30">
      <c r="A78" s="116" t="s">
        <v>78</v>
      </c>
      <c r="B78" s="92" t="s">
        <v>81</v>
      </c>
      <c r="C78" s="95">
        <f>(0.4628+0.288)*100</f>
        <v>75.079999999999984</v>
      </c>
      <c r="D78" s="95"/>
      <c r="E78" s="95"/>
      <c r="F78" s="96"/>
      <c r="G78" s="96"/>
      <c r="H78" s="96"/>
      <c r="I78" s="104"/>
    </row>
    <row r="79" spans="1:9" ht="30">
      <c r="A79" s="116" t="s">
        <v>80</v>
      </c>
      <c r="B79" s="92" t="s">
        <v>124</v>
      </c>
      <c r="C79" s="95">
        <f>(0.1425+0.54)*100</f>
        <v>68.25</v>
      </c>
      <c r="D79" s="95"/>
      <c r="E79" s="95"/>
      <c r="F79" s="96"/>
      <c r="G79" s="96"/>
      <c r="H79" s="96"/>
      <c r="I79" s="104"/>
    </row>
    <row r="80" spans="1:9" ht="30">
      <c r="A80" s="116" t="s">
        <v>82</v>
      </c>
      <c r="B80" s="92" t="s">
        <v>125</v>
      </c>
      <c r="C80" s="95">
        <f>(0.4379+0.3185)*100</f>
        <v>75.64</v>
      </c>
      <c r="D80" s="95"/>
      <c r="E80" s="95"/>
      <c r="F80" s="96"/>
      <c r="G80" s="96"/>
      <c r="H80" s="96"/>
      <c r="I80" s="104"/>
    </row>
    <row r="81" spans="1:9" ht="30">
      <c r="A81" s="116" t="s">
        <v>83</v>
      </c>
      <c r="B81" s="92" t="s">
        <v>126</v>
      </c>
      <c r="C81" s="95">
        <v>59.46</v>
      </c>
      <c r="D81" s="95"/>
      <c r="E81" s="95"/>
      <c r="F81" s="96"/>
      <c r="G81" s="96"/>
      <c r="H81" s="96"/>
      <c r="I81" s="104"/>
    </row>
    <row r="82" spans="1:9" ht="45">
      <c r="A82" s="116" t="s">
        <v>85</v>
      </c>
      <c r="B82" s="92" t="s">
        <v>128</v>
      </c>
      <c r="C82" s="95">
        <f>(0.1736+0.7038)*100</f>
        <v>87.74</v>
      </c>
      <c r="D82" s="95"/>
      <c r="E82" s="95"/>
      <c r="F82" s="96"/>
      <c r="G82" s="96"/>
      <c r="H82" s="96"/>
      <c r="I82" s="104"/>
    </row>
    <row r="83" spans="1:9" ht="45">
      <c r="A83" s="117" t="s">
        <v>86</v>
      </c>
      <c r="B83" s="3" t="s">
        <v>129</v>
      </c>
      <c r="C83" s="95">
        <v>209.06</v>
      </c>
      <c r="D83" s="95"/>
      <c r="E83" s="95"/>
      <c r="F83" s="96"/>
      <c r="G83" s="96"/>
      <c r="H83" s="96"/>
      <c r="I83" s="104"/>
    </row>
    <row r="84" spans="1:9" ht="45">
      <c r="A84" s="116" t="s">
        <v>87</v>
      </c>
      <c r="B84" s="92" t="s">
        <v>130</v>
      </c>
      <c r="C84" s="95">
        <f>(0.1055+1.077)*100</f>
        <v>118.24999999999999</v>
      </c>
      <c r="D84" s="95"/>
      <c r="E84" s="95"/>
      <c r="F84" s="96"/>
      <c r="G84" s="96"/>
      <c r="H84" s="96"/>
      <c r="I84" s="104"/>
    </row>
    <row r="85" spans="1:9" ht="45">
      <c r="A85" s="116" t="s">
        <v>281</v>
      </c>
      <c r="B85" s="3" t="s">
        <v>296</v>
      </c>
      <c r="C85" s="95">
        <f>26+117+110</f>
        <v>253</v>
      </c>
      <c r="D85" s="95"/>
      <c r="E85" s="95"/>
      <c r="F85" s="96"/>
      <c r="G85" s="96"/>
      <c r="H85" s="96"/>
      <c r="I85" s="104"/>
    </row>
    <row r="86" spans="1:9" ht="45">
      <c r="A86" s="116" t="s">
        <v>88</v>
      </c>
      <c r="B86" s="3" t="s">
        <v>297</v>
      </c>
      <c r="C86" s="95">
        <f>37+61.97</f>
        <v>98.97</v>
      </c>
      <c r="D86" s="95"/>
      <c r="E86" s="95"/>
      <c r="F86" s="96"/>
      <c r="G86" s="96"/>
      <c r="H86" s="96"/>
      <c r="I86" s="104"/>
    </row>
    <row r="87" spans="1:9" ht="45">
      <c r="A87" s="118" t="s">
        <v>89</v>
      </c>
      <c r="B87" s="3" t="s">
        <v>131</v>
      </c>
      <c r="C87" s="95">
        <f>(0.5103+0.6095)*100</f>
        <v>111.98000000000002</v>
      </c>
      <c r="D87" s="95"/>
      <c r="E87" s="95"/>
      <c r="F87" s="96"/>
      <c r="G87" s="96"/>
      <c r="H87" s="96"/>
      <c r="I87" s="104"/>
    </row>
    <row r="88" spans="1:9" ht="45">
      <c r="A88" s="118" t="s">
        <v>90</v>
      </c>
      <c r="B88" s="3" t="s">
        <v>132</v>
      </c>
      <c r="C88" s="95">
        <f>(0.3614+1.169)*100</f>
        <v>153.04</v>
      </c>
      <c r="D88" s="95"/>
      <c r="E88" s="95"/>
      <c r="F88" s="96"/>
      <c r="G88" s="96"/>
      <c r="H88" s="96"/>
      <c r="I88" s="104"/>
    </row>
    <row r="89" spans="1:9" ht="45">
      <c r="A89" s="118" t="s">
        <v>91</v>
      </c>
      <c r="B89" s="3" t="s">
        <v>133</v>
      </c>
      <c r="C89" s="95">
        <f>(0.278+1.4695)*100</f>
        <v>174.75</v>
      </c>
      <c r="D89" s="95"/>
      <c r="E89" s="95"/>
      <c r="F89" s="96"/>
      <c r="G89" s="96"/>
      <c r="H89" s="96"/>
      <c r="I89" s="104"/>
    </row>
    <row r="90" spans="1:9" ht="30">
      <c r="A90" s="119" t="s">
        <v>92</v>
      </c>
      <c r="B90" s="92" t="s">
        <v>134</v>
      </c>
      <c r="C90" s="95">
        <f>(0.018+0.561)*100</f>
        <v>57.900000000000006</v>
      </c>
      <c r="D90" s="95"/>
      <c r="E90" s="95"/>
      <c r="F90" s="96"/>
      <c r="G90" s="96"/>
      <c r="H90" s="96"/>
      <c r="I90" s="104"/>
    </row>
    <row r="91" spans="1:9" ht="45">
      <c r="A91" s="118" t="s">
        <v>93</v>
      </c>
      <c r="B91" s="3" t="s">
        <v>135</v>
      </c>
      <c r="C91" s="95">
        <f>46.38+136+46</f>
        <v>228.38</v>
      </c>
      <c r="D91" s="95"/>
      <c r="E91" s="95"/>
      <c r="F91" s="96"/>
      <c r="G91" s="96"/>
      <c r="H91" s="96"/>
      <c r="I91" s="104"/>
    </row>
    <row r="92" spans="1:9" ht="45">
      <c r="A92" s="118" t="s">
        <v>94</v>
      </c>
      <c r="B92" s="3" t="s">
        <v>136</v>
      </c>
      <c r="C92" s="95">
        <f>25+99.62+76</f>
        <v>200.62</v>
      </c>
      <c r="D92" s="95"/>
      <c r="E92" s="95"/>
      <c r="F92" s="96"/>
      <c r="G92" s="96"/>
      <c r="H92" s="96"/>
      <c r="I92" s="104"/>
    </row>
    <row r="93" spans="1:9" ht="45">
      <c r="A93" s="119" t="s">
        <v>95</v>
      </c>
      <c r="B93" s="3" t="s">
        <v>299</v>
      </c>
      <c r="C93" s="95">
        <v>105.79</v>
      </c>
      <c r="D93" s="95"/>
      <c r="E93" s="95"/>
      <c r="F93" s="96"/>
      <c r="G93" s="96"/>
      <c r="H93" s="96"/>
      <c r="I93" s="104"/>
    </row>
    <row r="94" spans="1:9" ht="30">
      <c r="A94" s="118" t="s">
        <v>96</v>
      </c>
      <c r="B94" s="3" t="s">
        <v>137</v>
      </c>
      <c r="C94" s="95">
        <f>(0.0113+0.513)*100</f>
        <v>52.43</v>
      </c>
      <c r="D94" s="95"/>
      <c r="E94" s="95"/>
      <c r="F94" s="96"/>
      <c r="G94" s="96"/>
      <c r="H94" s="96"/>
      <c r="I94" s="104"/>
    </row>
    <row r="95" spans="1:9" ht="30">
      <c r="A95" s="119" t="s">
        <v>97</v>
      </c>
      <c r="B95" s="3" t="s">
        <v>138</v>
      </c>
      <c r="C95" s="95"/>
      <c r="D95" s="95"/>
      <c r="E95" s="95"/>
      <c r="F95" s="96"/>
      <c r="G95" s="96"/>
      <c r="H95" s="96"/>
      <c r="I95" s="104"/>
    </row>
    <row r="96" spans="1:9" ht="30">
      <c r="A96" s="119" t="s">
        <v>98</v>
      </c>
      <c r="B96" s="92" t="s">
        <v>139</v>
      </c>
      <c r="C96" s="95">
        <f>(0.0564+0.2933)*100</f>
        <v>34.97</v>
      </c>
      <c r="D96" s="95"/>
      <c r="E96" s="95"/>
      <c r="F96" s="96"/>
      <c r="G96" s="96"/>
      <c r="H96" s="96"/>
      <c r="I96" s="104"/>
    </row>
    <row r="97" spans="1:9" ht="30">
      <c r="A97" s="119" t="s">
        <v>99</v>
      </c>
      <c r="B97" s="92" t="s">
        <v>140</v>
      </c>
      <c r="C97" s="95">
        <f>(0.048+0.5856)*100</f>
        <v>63.360000000000007</v>
      </c>
      <c r="D97" s="95"/>
      <c r="E97" s="95"/>
      <c r="F97" s="96"/>
      <c r="G97" s="96"/>
      <c r="H97" s="96"/>
      <c r="I97" s="104"/>
    </row>
    <row r="98" spans="1:9" ht="45">
      <c r="A98" s="118" t="s">
        <v>100</v>
      </c>
      <c r="B98" s="3" t="s">
        <v>141</v>
      </c>
      <c r="C98" s="95">
        <f>61.03+490.22</f>
        <v>551.25</v>
      </c>
      <c r="D98" s="95"/>
      <c r="E98" s="95"/>
      <c r="F98" s="96"/>
      <c r="G98" s="96"/>
      <c r="H98" s="96"/>
      <c r="I98" s="104"/>
    </row>
    <row r="99" spans="1:9" ht="45">
      <c r="A99" s="118" t="s">
        <v>101</v>
      </c>
      <c r="B99" s="3" t="s">
        <v>142</v>
      </c>
      <c r="C99" s="95">
        <f>12.73+349.56</f>
        <v>362.29</v>
      </c>
      <c r="D99" s="95"/>
      <c r="E99" s="95"/>
      <c r="F99" s="96"/>
      <c r="G99" s="96"/>
      <c r="H99" s="96"/>
      <c r="I99" s="104"/>
    </row>
    <row r="100" spans="1:9" ht="45">
      <c r="A100" s="118" t="s">
        <v>102</v>
      </c>
      <c r="B100" s="3" t="s">
        <v>143</v>
      </c>
      <c r="C100" s="95">
        <f>46.03+495.27</f>
        <v>541.29999999999995</v>
      </c>
      <c r="D100" s="95"/>
      <c r="E100" s="95"/>
      <c r="F100" s="96"/>
      <c r="G100" s="96"/>
      <c r="H100" s="96"/>
      <c r="I100" s="104"/>
    </row>
    <row r="101" spans="1:9" ht="45">
      <c r="A101" s="118" t="s">
        <v>103</v>
      </c>
      <c r="B101" s="3" t="s">
        <v>144</v>
      </c>
      <c r="C101" s="95">
        <f>(1.307+4.137)*100</f>
        <v>544.39999999999986</v>
      </c>
      <c r="D101" s="95"/>
      <c r="E101" s="95"/>
      <c r="F101" s="96"/>
      <c r="G101" s="96"/>
      <c r="H101" s="96"/>
      <c r="I101" s="104"/>
    </row>
    <row r="102" spans="1:9" ht="30">
      <c r="A102" s="118" t="s">
        <v>104</v>
      </c>
      <c r="B102" s="3" t="s">
        <v>145</v>
      </c>
      <c r="C102" s="95">
        <f>(0.0324+0.727)*100</f>
        <v>75.94</v>
      </c>
      <c r="D102" s="95"/>
      <c r="E102" s="95"/>
      <c r="F102" s="96"/>
      <c r="G102" s="96"/>
      <c r="H102" s="96"/>
      <c r="I102" s="104"/>
    </row>
    <row r="103" spans="1:9" ht="30">
      <c r="A103" s="118" t="s">
        <v>105</v>
      </c>
      <c r="B103" s="3" t="s">
        <v>146</v>
      </c>
      <c r="C103" s="95">
        <v>175</v>
      </c>
      <c r="D103" s="95"/>
      <c r="E103" s="95"/>
      <c r="F103" s="96"/>
      <c r="G103" s="96"/>
      <c r="H103" s="96"/>
      <c r="I103" s="104"/>
    </row>
    <row r="104" spans="1:9" ht="45">
      <c r="A104" s="118" t="s">
        <v>106</v>
      </c>
      <c r="B104" s="3" t="s">
        <v>496</v>
      </c>
      <c r="C104" s="95">
        <f>(0.5138+1.45285)*100</f>
        <v>196.66499999999999</v>
      </c>
      <c r="D104" s="95"/>
      <c r="E104" s="95"/>
      <c r="F104" s="96"/>
      <c r="G104" s="96"/>
      <c r="H104" s="96"/>
      <c r="I104" s="104"/>
    </row>
    <row r="105" spans="1:9" ht="45">
      <c r="A105" s="119" t="s">
        <v>107</v>
      </c>
      <c r="B105" s="92" t="s">
        <v>497</v>
      </c>
      <c r="C105" s="95">
        <f>(0.1377+0.992)*100</f>
        <v>112.97</v>
      </c>
      <c r="D105" s="95"/>
      <c r="E105" s="95"/>
      <c r="F105" s="96"/>
      <c r="G105" s="96"/>
      <c r="H105" s="96"/>
      <c r="I105" s="104"/>
    </row>
    <row r="106" spans="1:9" ht="45">
      <c r="A106" s="119" t="s">
        <v>108</v>
      </c>
      <c r="B106" s="92" t="s">
        <v>147</v>
      </c>
      <c r="C106" s="95">
        <f>(0.2756+0.9398)*100</f>
        <v>121.54</v>
      </c>
      <c r="D106" s="95"/>
      <c r="E106" s="95"/>
      <c r="F106" s="96"/>
      <c r="G106" s="96"/>
      <c r="H106" s="96"/>
      <c r="I106" s="104"/>
    </row>
    <row r="107" spans="1:9" ht="45">
      <c r="A107" s="118" t="s">
        <v>109</v>
      </c>
      <c r="B107" s="3" t="s">
        <v>148</v>
      </c>
      <c r="C107" s="95">
        <f>(0.276+0.7354)*100</f>
        <v>101.14000000000001</v>
      </c>
      <c r="D107" s="95"/>
      <c r="E107" s="95"/>
      <c r="F107" s="96"/>
      <c r="G107" s="96"/>
      <c r="H107" s="96"/>
      <c r="I107" s="104"/>
    </row>
    <row r="108" spans="1:9" ht="30">
      <c r="A108" s="118" t="s">
        <v>110</v>
      </c>
      <c r="B108" s="3" t="s">
        <v>149</v>
      </c>
      <c r="C108" s="95"/>
      <c r="D108" s="95"/>
      <c r="E108" s="95"/>
      <c r="F108" s="96"/>
      <c r="G108" s="96"/>
      <c r="H108" s="96"/>
      <c r="I108" s="104"/>
    </row>
    <row r="109" spans="1:9" ht="45">
      <c r="A109" s="118" t="s">
        <v>111</v>
      </c>
      <c r="B109" s="3" t="s">
        <v>498</v>
      </c>
      <c r="C109" s="95">
        <f>(0.8558+2.069)*100</f>
        <v>292.47999999999996</v>
      </c>
      <c r="D109" s="95"/>
      <c r="E109" s="95"/>
      <c r="F109" s="96"/>
      <c r="G109" s="96"/>
      <c r="H109" s="96"/>
      <c r="I109" s="104"/>
    </row>
    <row r="110" spans="1:9" ht="45">
      <c r="A110" s="118" t="s">
        <v>112</v>
      </c>
      <c r="B110" s="3" t="s">
        <v>150</v>
      </c>
      <c r="C110" s="95">
        <f>(0.64673+2.5221)*100</f>
        <v>316.88299999999998</v>
      </c>
      <c r="D110" s="95"/>
      <c r="E110" s="95"/>
      <c r="F110" s="96"/>
      <c r="G110" s="96"/>
      <c r="H110" s="96"/>
      <c r="I110" s="104"/>
    </row>
    <row r="111" spans="1:9" ht="45">
      <c r="A111" s="118" t="s">
        <v>113</v>
      </c>
      <c r="B111" s="3" t="s">
        <v>499</v>
      </c>
      <c r="C111" s="95">
        <f>(1.062+2.595)*100</f>
        <v>365.7</v>
      </c>
      <c r="D111" s="95"/>
      <c r="E111" s="95"/>
      <c r="F111" s="96"/>
      <c r="G111" s="96"/>
      <c r="H111" s="96"/>
      <c r="I111" s="104"/>
    </row>
    <row r="112" spans="1:9" ht="45">
      <c r="A112" s="118" t="s">
        <v>114</v>
      </c>
      <c r="B112" s="3" t="s">
        <v>151</v>
      </c>
      <c r="C112" s="95">
        <v>444.33600000000001</v>
      </c>
      <c r="D112" s="95"/>
      <c r="E112" s="95"/>
      <c r="F112" s="96"/>
      <c r="G112" s="96"/>
      <c r="H112" s="96"/>
      <c r="I112" s="104"/>
    </row>
    <row r="113" spans="1:9" ht="45">
      <c r="A113" s="118" t="s">
        <v>115</v>
      </c>
      <c r="B113" s="3" t="s">
        <v>152</v>
      </c>
      <c r="C113" s="95">
        <f>(0.05+0.409+0.772)*100</f>
        <v>123.1</v>
      </c>
      <c r="D113" s="95"/>
      <c r="E113" s="95"/>
      <c r="F113" s="96"/>
      <c r="G113" s="96"/>
      <c r="H113" s="96"/>
      <c r="I113" s="104"/>
    </row>
    <row r="114" spans="1:9" ht="45">
      <c r="A114" s="118" t="s">
        <v>116</v>
      </c>
      <c r="B114" s="3" t="s">
        <v>153</v>
      </c>
      <c r="C114" s="95">
        <f>(0.3568+2.9372)*100</f>
        <v>329.4</v>
      </c>
      <c r="D114" s="95"/>
      <c r="E114" s="95"/>
      <c r="F114" s="96"/>
      <c r="G114" s="96"/>
      <c r="H114" s="96"/>
      <c r="I114" s="104"/>
    </row>
    <row r="115" spans="1:9" ht="45">
      <c r="A115" s="119" t="s">
        <v>117</v>
      </c>
      <c r="B115" s="92" t="s">
        <v>160</v>
      </c>
      <c r="C115" s="95">
        <v>116.4</v>
      </c>
      <c r="D115" s="95"/>
      <c r="E115" s="95"/>
      <c r="F115" s="96"/>
      <c r="G115" s="96"/>
      <c r="H115" s="96"/>
      <c r="I115" s="104"/>
    </row>
    <row r="116" spans="1:9" ht="30">
      <c r="A116" s="119" t="s">
        <v>118</v>
      </c>
      <c r="B116" s="92" t="s">
        <v>154</v>
      </c>
      <c r="C116" s="95">
        <f>(0.101+0.528)*100</f>
        <v>62.9</v>
      </c>
      <c r="D116" s="95"/>
      <c r="E116" s="95"/>
      <c r="F116" s="96"/>
      <c r="G116" s="96"/>
      <c r="H116" s="96"/>
      <c r="I116" s="104"/>
    </row>
    <row r="117" spans="1:9" ht="30">
      <c r="A117" s="119" t="s">
        <v>119</v>
      </c>
      <c r="B117" s="92" t="s">
        <v>155</v>
      </c>
      <c r="C117" s="95">
        <f>(0.1972+0.5528)*100</f>
        <v>75</v>
      </c>
      <c r="D117" s="95"/>
      <c r="E117" s="95"/>
      <c r="F117" s="96"/>
      <c r="G117" s="96"/>
      <c r="H117" s="96"/>
      <c r="I117" s="104"/>
    </row>
    <row r="118" spans="1:9" ht="45">
      <c r="A118" s="118" t="s">
        <v>120</v>
      </c>
      <c r="B118" s="3" t="s">
        <v>161</v>
      </c>
      <c r="C118" s="95">
        <f>(0.46953+1.12924)*100</f>
        <v>159.87700000000001</v>
      </c>
      <c r="D118" s="95"/>
      <c r="E118" s="95"/>
      <c r="F118" s="96"/>
      <c r="G118" s="96"/>
      <c r="H118" s="96"/>
      <c r="I118" s="104"/>
    </row>
    <row r="119" spans="1:9" ht="30">
      <c r="A119" s="119" t="s">
        <v>301</v>
      </c>
      <c r="B119" s="92" t="s">
        <v>156</v>
      </c>
      <c r="C119" s="95">
        <f>(0.2855+0.4417)*100</f>
        <v>72.72</v>
      </c>
      <c r="D119" s="95"/>
      <c r="E119" s="95"/>
      <c r="F119" s="96"/>
      <c r="G119" s="96"/>
      <c r="H119" s="96"/>
      <c r="I119" s="104"/>
    </row>
    <row r="120" spans="1:9" ht="45">
      <c r="A120" s="118" t="s">
        <v>302</v>
      </c>
      <c r="B120" s="3" t="s">
        <v>157</v>
      </c>
      <c r="C120" s="95">
        <f>(0.2512+0.6486)*100</f>
        <v>89.97999999999999</v>
      </c>
      <c r="D120" s="95"/>
      <c r="E120" s="95"/>
      <c r="F120" s="96"/>
      <c r="G120" s="96"/>
      <c r="H120" s="96"/>
      <c r="I120" s="104"/>
    </row>
    <row r="121" spans="1:9" ht="45">
      <c r="A121" s="119" t="s">
        <v>282</v>
      </c>
      <c r="B121" s="3" t="s">
        <v>300</v>
      </c>
      <c r="C121" s="95">
        <f>32+162.62+220</f>
        <v>414.62</v>
      </c>
      <c r="D121" s="95"/>
      <c r="E121" s="95"/>
      <c r="F121" s="96"/>
      <c r="G121" s="96"/>
      <c r="H121" s="96"/>
      <c r="I121" s="104"/>
    </row>
    <row r="122" spans="1:9" ht="45">
      <c r="A122" s="118" t="s">
        <v>283</v>
      </c>
      <c r="B122" s="3" t="s">
        <v>385</v>
      </c>
      <c r="C122" s="95">
        <f>33+125+90+148.19</f>
        <v>396.19</v>
      </c>
      <c r="D122" s="95"/>
      <c r="E122" s="95"/>
      <c r="F122" s="96"/>
      <c r="G122" s="96"/>
      <c r="H122" s="96"/>
      <c r="I122" s="104"/>
    </row>
    <row r="123" spans="1:9" ht="45">
      <c r="A123" s="118" t="s">
        <v>284</v>
      </c>
      <c r="B123" s="3" t="s">
        <v>386</v>
      </c>
      <c r="C123" s="95">
        <f>217+348+72.05+107+173+85</f>
        <v>1002.05</v>
      </c>
      <c r="D123" s="95"/>
      <c r="E123" s="95"/>
      <c r="F123" s="96"/>
      <c r="G123" s="96"/>
      <c r="H123" s="96"/>
      <c r="I123" s="104"/>
    </row>
    <row r="124" spans="1:9" ht="75">
      <c r="A124" s="118" t="s">
        <v>285</v>
      </c>
      <c r="B124" s="3" t="s">
        <v>387</v>
      </c>
      <c r="C124" s="95">
        <f>27.3+52+245+53.2+81.7+278.5+25+149.3+146+118.5+149.4+32.9+100.4+172.1+62.7+266+83.4+174.9+147.3+197.8+121.2+139.2+53.5</f>
        <v>2877.3</v>
      </c>
      <c r="D124" s="95"/>
      <c r="E124" s="95"/>
      <c r="F124" s="96"/>
      <c r="G124" s="96"/>
      <c r="H124" s="96"/>
      <c r="I124" s="104"/>
    </row>
    <row r="125" spans="1:9" ht="45">
      <c r="A125" s="118" t="s">
        <v>286</v>
      </c>
      <c r="B125" s="3" t="s">
        <v>298</v>
      </c>
      <c r="C125" s="95">
        <f>34+88+82+63+99.38</f>
        <v>366.38</v>
      </c>
      <c r="D125" s="95"/>
      <c r="E125" s="95"/>
      <c r="F125" s="96"/>
      <c r="G125" s="96"/>
      <c r="H125" s="96"/>
      <c r="I125" s="104"/>
    </row>
    <row r="126" spans="1:9" ht="45">
      <c r="A126" s="118" t="s">
        <v>287</v>
      </c>
      <c r="B126" s="3" t="s">
        <v>388</v>
      </c>
      <c r="C126" s="95">
        <f>5.7+177.5+88+12+241.85</f>
        <v>525.04999999999995</v>
      </c>
      <c r="D126" s="95"/>
      <c r="E126" s="95"/>
      <c r="F126" s="96"/>
      <c r="G126" s="96"/>
      <c r="H126" s="96"/>
      <c r="I126" s="104"/>
    </row>
    <row r="127" spans="1:9" ht="45">
      <c r="A127" s="118" t="s">
        <v>288</v>
      </c>
      <c r="B127" s="3" t="s">
        <v>389</v>
      </c>
      <c r="C127" s="95">
        <f>32+277+3+296.5+12+264.5+271+289.98</f>
        <v>1445.98</v>
      </c>
      <c r="D127" s="95"/>
      <c r="E127" s="95"/>
      <c r="F127" s="96"/>
      <c r="G127" s="96"/>
      <c r="H127" s="96"/>
      <c r="I127" s="104"/>
    </row>
    <row r="128" spans="1:9" ht="75">
      <c r="A128" s="118" t="s">
        <v>289</v>
      </c>
      <c r="B128" s="3" t="s">
        <v>390</v>
      </c>
      <c r="C128" s="95">
        <f>580+1166.56+543.94+240</f>
        <v>2530.5</v>
      </c>
      <c r="D128" s="95"/>
      <c r="E128" s="95"/>
      <c r="F128" s="96"/>
      <c r="G128" s="96"/>
      <c r="H128" s="96"/>
      <c r="I128" s="104"/>
    </row>
    <row r="129" spans="1:9" ht="30">
      <c r="A129" s="120" t="s">
        <v>290</v>
      </c>
      <c r="B129" s="3" t="s">
        <v>233</v>
      </c>
      <c r="C129" s="95">
        <v>75.67</v>
      </c>
      <c r="D129" s="95"/>
      <c r="E129" s="95"/>
      <c r="F129" s="96"/>
      <c r="G129" s="96"/>
      <c r="H129" s="96"/>
      <c r="I129" s="104"/>
    </row>
    <row r="130" spans="1:9" ht="30">
      <c r="A130" s="120" t="s">
        <v>291</v>
      </c>
      <c r="B130" s="3" t="s">
        <v>174</v>
      </c>
      <c r="C130" s="95">
        <v>198.5</v>
      </c>
      <c r="D130" s="95"/>
      <c r="E130" s="95"/>
      <c r="F130" s="96"/>
      <c r="G130" s="96"/>
      <c r="H130" s="96"/>
      <c r="I130" s="104"/>
    </row>
    <row r="131" spans="1:9" ht="30">
      <c r="A131" s="120" t="s">
        <v>292</v>
      </c>
      <c r="B131" s="3" t="s">
        <v>175</v>
      </c>
      <c r="C131" s="95"/>
      <c r="D131" s="95">
        <v>32</v>
      </c>
      <c r="E131" s="95"/>
      <c r="F131" s="96">
        <v>1</v>
      </c>
      <c r="G131" s="96">
        <v>1</v>
      </c>
      <c r="H131" s="96"/>
      <c r="I131" s="104"/>
    </row>
    <row r="132" spans="1:9" ht="30">
      <c r="A132" s="120" t="s">
        <v>293</v>
      </c>
      <c r="B132" s="3" t="s">
        <v>176</v>
      </c>
      <c r="C132" s="95"/>
      <c r="D132" s="95">
        <v>7.25</v>
      </c>
      <c r="E132" s="95"/>
      <c r="F132" s="96">
        <v>2</v>
      </c>
      <c r="G132" s="96"/>
      <c r="H132" s="96"/>
      <c r="I132" s="104"/>
    </row>
    <row r="133" spans="1:9" ht="30">
      <c r="A133" s="120" t="s">
        <v>294</v>
      </c>
      <c r="B133" s="3" t="s">
        <v>173</v>
      </c>
      <c r="C133" s="95">
        <v>64.900000000000006</v>
      </c>
      <c r="D133" s="95"/>
      <c r="E133" s="95"/>
      <c r="F133" s="96"/>
      <c r="G133" s="96"/>
      <c r="H133" s="96"/>
      <c r="I133" s="104"/>
    </row>
    <row r="134" spans="1:9" ht="30">
      <c r="A134" s="120" t="s">
        <v>295</v>
      </c>
      <c r="B134" s="3" t="s">
        <v>224</v>
      </c>
      <c r="C134" s="95">
        <v>56.39</v>
      </c>
      <c r="D134" s="95"/>
      <c r="E134" s="95"/>
      <c r="F134" s="96"/>
      <c r="G134" s="96"/>
      <c r="H134" s="96"/>
      <c r="I134" s="104"/>
    </row>
    <row r="135" spans="1:9" ht="30">
      <c r="A135" s="120" t="s">
        <v>303</v>
      </c>
      <c r="B135" s="3" t="s">
        <v>225</v>
      </c>
      <c r="C135" s="95">
        <f>(0.1054+0.643)*100</f>
        <v>74.839999999999989</v>
      </c>
      <c r="D135" s="95"/>
      <c r="E135" s="95"/>
      <c r="F135" s="96"/>
      <c r="G135" s="96"/>
      <c r="H135" s="96"/>
      <c r="I135" s="104"/>
    </row>
    <row r="136" spans="1:9" ht="30">
      <c r="A136" s="120" t="s">
        <v>304</v>
      </c>
      <c r="B136" s="3" t="s">
        <v>226</v>
      </c>
      <c r="C136" s="95">
        <f>(0.3555+0.3802)*100</f>
        <v>73.570000000000007</v>
      </c>
      <c r="D136" s="95"/>
      <c r="E136" s="95"/>
      <c r="F136" s="96"/>
      <c r="G136" s="96"/>
      <c r="H136" s="96"/>
      <c r="I136" s="104"/>
    </row>
    <row r="137" spans="1:9" ht="30">
      <c r="A137" s="120" t="s">
        <v>305</v>
      </c>
      <c r="B137" s="3" t="s">
        <v>227</v>
      </c>
      <c r="C137" s="95">
        <f>(0.0878+0.6291)*100</f>
        <v>71.69</v>
      </c>
      <c r="D137" s="95"/>
      <c r="E137" s="95"/>
      <c r="F137" s="96"/>
      <c r="G137" s="96"/>
      <c r="H137" s="96"/>
      <c r="I137" s="104"/>
    </row>
    <row r="138" spans="1:9" ht="30">
      <c r="A138" s="120" t="s">
        <v>306</v>
      </c>
      <c r="B138" s="3" t="s">
        <v>207</v>
      </c>
      <c r="C138" s="95"/>
      <c r="D138" s="95">
        <v>14.6</v>
      </c>
      <c r="E138" s="95"/>
      <c r="F138" s="96">
        <v>1</v>
      </c>
      <c r="G138" s="96">
        <v>1</v>
      </c>
      <c r="H138" s="96"/>
      <c r="I138" s="104"/>
    </row>
    <row r="139" spans="1:9" ht="30">
      <c r="A139" s="120" t="s">
        <v>307</v>
      </c>
      <c r="B139" s="3" t="s">
        <v>209</v>
      </c>
      <c r="C139" s="95">
        <v>101.18</v>
      </c>
      <c r="D139" s="95"/>
      <c r="E139" s="95"/>
      <c r="F139" s="96"/>
      <c r="G139" s="96"/>
      <c r="H139" s="96"/>
      <c r="I139" s="104"/>
    </row>
    <row r="140" spans="1:9" ht="45">
      <c r="A140" s="120" t="s">
        <v>308</v>
      </c>
      <c r="B140" s="3" t="s">
        <v>215</v>
      </c>
      <c r="C140" s="95"/>
      <c r="D140" s="95"/>
      <c r="E140" s="95"/>
      <c r="F140" s="96"/>
      <c r="G140" s="96"/>
      <c r="H140" s="96"/>
      <c r="I140" s="104"/>
    </row>
    <row r="141" spans="1:9" ht="30">
      <c r="A141" s="120" t="s">
        <v>309</v>
      </c>
      <c r="B141" s="3" t="s">
        <v>222</v>
      </c>
      <c r="C141" s="95">
        <f>23.5+28.5</f>
        <v>52</v>
      </c>
      <c r="D141" s="95"/>
      <c r="E141" s="95"/>
      <c r="F141" s="96"/>
      <c r="G141" s="96"/>
      <c r="H141" s="96"/>
      <c r="I141" s="104"/>
    </row>
    <row r="142" spans="1:9" ht="30">
      <c r="A142" s="120" t="s">
        <v>345</v>
      </c>
      <c r="B142" s="3" t="s">
        <v>250</v>
      </c>
      <c r="C142" s="95"/>
      <c r="D142" s="95">
        <v>69.8</v>
      </c>
      <c r="E142" s="95"/>
      <c r="F142" s="96"/>
      <c r="G142" s="96"/>
      <c r="H142" s="96"/>
      <c r="I142" s="104"/>
    </row>
    <row r="143" spans="1:9" ht="30">
      <c r="A143" s="120" t="s">
        <v>313</v>
      </c>
      <c r="B143" s="3" t="s">
        <v>251</v>
      </c>
      <c r="C143" s="95"/>
      <c r="D143" s="95">
        <v>67</v>
      </c>
      <c r="E143" s="95"/>
      <c r="F143" s="96"/>
      <c r="G143" s="96"/>
      <c r="H143" s="96"/>
      <c r="I143" s="104"/>
    </row>
    <row r="144" spans="1:9" ht="30">
      <c r="A144" s="120" t="s">
        <v>310</v>
      </c>
      <c r="B144" s="3" t="s">
        <v>252</v>
      </c>
      <c r="C144" s="95">
        <f>58+73</f>
        <v>131</v>
      </c>
      <c r="D144" s="95"/>
      <c r="E144" s="95"/>
      <c r="F144" s="96"/>
      <c r="G144" s="96"/>
      <c r="H144" s="96"/>
      <c r="I144" s="104"/>
    </row>
    <row r="145" spans="1:9" ht="30">
      <c r="A145" s="120" t="s">
        <v>311</v>
      </c>
      <c r="B145" s="3" t="s">
        <v>253</v>
      </c>
      <c r="C145" s="95"/>
      <c r="D145" s="95">
        <v>17.5</v>
      </c>
      <c r="E145" s="95"/>
      <c r="F145" s="96">
        <v>2</v>
      </c>
      <c r="G145" s="96"/>
      <c r="H145" s="96"/>
      <c r="I145" s="104"/>
    </row>
    <row r="146" spans="1:9" ht="30">
      <c r="A146" s="121" t="s">
        <v>312</v>
      </c>
      <c r="B146" s="3" t="s">
        <v>314</v>
      </c>
      <c r="C146" s="95">
        <v>530</v>
      </c>
      <c r="D146" s="95"/>
      <c r="E146" s="95"/>
      <c r="F146" s="96"/>
      <c r="G146" s="96"/>
      <c r="H146" s="96"/>
      <c r="I146" s="104"/>
    </row>
    <row r="147" spans="1:9" ht="30">
      <c r="A147" s="20" t="s">
        <v>346</v>
      </c>
      <c r="B147" s="93" t="s">
        <v>328</v>
      </c>
      <c r="C147" s="95">
        <f>22.1+48.45</f>
        <v>70.550000000000011</v>
      </c>
      <c r="D147" s="95"/>
      <c r="E147" s="95"/>
      <c r="F147" s="96"/>
      <c r="G147" s="96"/>
      <c r="H147" s="96"/>
      <c r="I147" s="104"/>
    </row>
    <row r="148" spans="1:9" ht="30">
      <c r="A148" s="20" t="s">
        <v>333</v>
      </c>
      <c r="B148" s="93" t="s">
        <v>329</v>
      </c>
      <c r="C148" s="95">
        <v>68</v>
      </c>
      <c r="D148" s="95"/>
      <c r="E148" s="95"/>
      <c r="F148" s="96"/>
      <c r="G148" s="96"/>
      <c r="H148" s="96"/>
      <c r="I148" s="104"/>
    </row>
    <row r="149" spans="1:9" ht="45">
      <c r="A149" s="20" t="s">
        <v>334</v>
      </c>
      <c r="B149" s="93" t="s">
        <v>330</v>
      </c>
      <c r="C149" s="95">
        <f>18+0.75+18</f>
        <v>36.75</v>
      </c>
      <c r="D149" s="95"/>
      <c r="E149" s="95"/>
      <c r="F149" s="96"/>
      <c r="G149" s="96"/>
      <c r="H149" s="96"/>
      <c r="I149" s="104"/>
    </row>
    <row r="150" spans="1:9" ht="30">
      <c r="A150" s="122" t="s">
        <v>335</v>
      </c>
      <c r="B150" s="94" t="s">
        <v>331</v>
      </c>
      <c r="C150" s="95">
        <v>530.45000000000005</v>
      </c>
      <c r="D150" s="95"/>
      <c r="E150" s="95"/>
      <c r="F150" s="96"/>
      <c r="G150" s="96"/>
      <c r="H150" s="96"/>
      <c r="I150" s="104"/>
    </row>
    <row r="151" spans="1:9" ht="30">
      <c r="A151" s="20" t="s">
        <v>336</v>
      </c>
      <c r="B151" s="3" t="s">
        <v>332</v>
      </c>
      <c r="C151" s="95">
        <f>(0.348+0.3144)*100</f>
        <v>66.239999999999995</v>
      </c>
      <c r="D151" s="95"/>
      <c r="E151" s="95"/>
      <c r="F151" s="96"/>
      <c r="G151" s="96"/>
      <c r="H151" s="96"/>
      <c r="I151" s="104"/>
    </row>
    <row r="152" spans="1:9" ht="30">
      <c r="A152" s="20" t="s">
        <v>337</v>
      </c>
      <c r="B152" s="93" t="s">
        <v>451</v>
      </c>
      <c r="C152" s="95">
        <v>43</v>
      </c>
      <c r="D152" s="95"/>
      <c r="E152" s="95"/>
      <c r="F152" s="96"/>
      <c r="G152" s="96"/>
      <c r="H152" s="96"/>
      <c r="I152" s="104"/>
    </row>
    <row r="153" spans="1:9" ht="30">
      <c r="A153" s="20" t="s">
        <v>352</v>
      </c>
      <c r="B153" s="93" t="s">
        <v>351</v>
      </c>
      <c r="C153" s="95">
        <f>(0.0738+0.604)*100</f>
        <v>67.78</v>
      </c>
      <c r="D153" s="95"/>
      <c r="E153" s="95"/>
      <c r="F153" s="96"/>
      <c r="G153" s="96"/>
      <c r="H153" s="96"/>
      <c r="I153" s="104"/>
    </row>
    <row r="154" spans="1:9" ht="30">
      <c r="A154" s="123" t="s">
        <v>412</v>
      </c>
      <c r="B154" s="98" t="s">
        <v>413</v>
      </c>
      <c r="C154" s="95">
        <v>52</v>
      </c>
      <c r="D154" s="95"/>
      <c r="E154" s="95"/>
      <c r="F154" s="96"/>
      <c r="G154" s="96"/>
      <c r="H154" s="96"/>
      <c r="I154" s="104"/>
    </row>
    <row r="155" spans="1:9" ht="30">
      <c r="A155" s="123" t="s">
        <v>414</v>
      </c>
      <c r="B155" s="93" t="s">
        <v>415</v>
      </c>
      <c r="C155" s="95">
        <v>45</v>
      </c>
      <c r="D155" s="95"/>
      <c r="E155" s="95"/>
      <c r="F155" s="96"/>
      <c r="G155" s="96"/>
      <c r="H155" s="96"/>
      <c r="I155" s="104"/>
    </row>
    <row r="156" spans="1:9" ht="30">
      <c r="A156" s="123" t="s">
        <v>416</v>
      </c>
      <c r="B156" s="93" t="s">
        <v>417</v>
      </c>
      <c r="C156" s="95">
        <f>28.99+23.98</f>
        <v>52.97</v>
      </c>
      <c r="D156" s="95"/>
      <c r="E156" s="95"/>
      <c r="F156" s="96"/>
      <c r="G156" s="96"/>
      <c r="H156" s="96"/>
      <c r="I156" s="104"/>
    </row>
    <row r="157" spans="1:9" ht="30">
      <c r="A157" s="123" t="s">
        <v>418</v>
      </c>
      <c r="B157" s="93" t="s">
        <v>419</v>
      </c>
      <c r="C157" s="95">
        <f>37.21+28.85</f>
        <v>66.06</v>
      </c>
      <c r="D157" s="95"/>
      <c r="E157" s="95"/>
      <c r="F157" s="96"/>
      <c r="G157" s="96"/>
      <c r="H157" s="96"/>
      <c r="I157" s="104"/>
    </row>
    <row r="158" spans="1:9" ht="30">
      <c r="A158" s="123" t="s">
        <v>420</v>
      </c>
      <c r="B158" s="93" t="s">
        <v>421</v>
      </c>
      <c r="C158" s="95">
        <v>81.510000000000005</v>
      </c>
      <c r="D158" s="95"/>
      <c r="E158" s="95"/>
      <c r="F158" s="96"/>
      <c r="G158" s="96"/>
      <c r="H158" s="96"/>
      <c r="I158" s="104"/>
    </row>
    <row r="159" spans="1:9" ht="30">
      <c r="A159" s="123" t="s">
        <v>422</v>
      </c>
      <c r="B159" s="93" t="s">
        <v>423</v>
      </c>
      <c r="C159" s="95">
        <f>17.36+49.12</f>
        <v>66.47999999999999</v>
      </c>
      <c r="D159" s="95"/>
      <c r="E159" s="95"/>
      <c r="F159" s="96"/>
      <c r="G159" s="96"/>
      <c r="H159" s="96"/>
      <c r="I159" s="104"/>
    </row>
    <row r="160" spans="1:9" ht="30">
      <c r="A160" s="123" t="s">
        <v>424</v>
      </c>
      <c r="B160" s="93" t="s">
        <v>425</v>
      </c>
      <c r="C160" s="95">
        <v>62.24</v>
      </c>
      <c r="D160" s="95"/>
      <c r="E160" s="95"/>
      <c r="F160" s="96"/>
      <c r="G160" s="96"/>
      <c r="H160" s="96"/>
      <c r="I160" s="104"/>
    </row>
    <row r="161" spans="1:9" ht="30">
      <c r="A161" s="123" t="s">
        <v>426</v>
      </c>
      <c r="B161" s="93" t="s">
        <v>427</v>
      </c>
      <c r="C161" s="95">
        <f>21.76+44.35</f>
        <v>66.11</v>
      </c>
      <c r="D161" s="95"/>
      <c r="E161" s="95"/>
      <c r="F161" s="96"/>
      <c r="G161" s="96"/>
      <c r="H161" s="96"/>
      <c r="I161" s="104"/>
    </row>
    <row r="162" spans="1:9" ht="30">
      <c r="A162" s="123" t="s">
        <v>428</v>
      </c>
      <c r="B162" s="93" t="s">
        <v>429</v>
      </c>
      <c r="C162" s="95">
        <f>23.95+28.7</f>
        <v>52.65</v>
      </c>
      <c r="D162" s="95"/>
      <c r="E162" s="95"/>
      <c r="F162" s="96"/>
      <c r="G162" s="96"/>
      <c r="H162" s="96"/>
      <c r="I162" s="104"/>
    </row>
    <row r="163" spans="1:9" ht="30">
      <c r="A163" s="123" t="s">
        <v>430</v>
      </c>
      <c r="B163" s="93" t="s">
        <v>431</v>
      </c>
      <c r="C163" s="95">
        <f>22+43.7</f>
        <v>65.7</v>
      </c>
      <c r="D163" s="95"/>
      <c r="E163" s="95"/>
      <c r="F163" s="96"/>
      <c r="G163" s="96"/>
      <c r="H163" s="96"/>
      <c r="I163" s="104"/>
    </row>
    <row r="164" spans="1:9" ht="30">
      <c r="A164" s="123" t="s">
        <v>432</v>
      </c>
      <c r="B164" s="93" t="s">
        <v>450</v>
      </c>
      <c r="C164" s="95"/>
      <c r="D164" s="95">
        <v>69.680000000000007</v>
      </c>
      <c r="E164" s="95"/>
      <c r="F164" s="96"/>
      <c r="G164" s="96"/>
      <c r="H164" s="96"/>
      <c r="I164" s="104"/>
    </row>
    <row r="165" spans="1:9" ht="30">
      <c r="A165" s="123" t="s">
        <v>433</v>
      </c>
      <c r="B165" s="93" t="s">
        <v>434</v>
      </c>
      <c r="C165" s="95">
        <v>40</v>
      </c>
      <c r="D165" s="95"/>
      <c r="E165" s="95"/>
      <c r="F165" s="96">
        <v>2</v>
      </c>
      <c r="G165" s="96">
        <v>1</v>
      </c>
      <c r="H165" s="96"/>
      <c r="I165" s="104"/>
    </row>
    <row r="166" spans="1:9" ht="45">
      <c r="A166" s="123" t="s">
        <v>435</v>
      </c>
      <c r="B166" s="98" t="s">
        <v>436</v>
      </c>
      <c r="C166" s="95"/>
      <c r="D166" s="95"/>
      <c r="E166" s="95"/>
      <c r="F166" s="96"/>
      <c r="G166" s="96"/>
      <c r="H166" s="96"/>
      <c r="I166" s="104"/>
    </row>
    <row r="167" spans="1:9" ht="45">
      <c r="A167" s="123" t="s">
        <v>437</v>
      </c>
      <c r="B167" s="98" t="s">
        <v>438</v>
      </c>
      <c r="C167" s="95">
        <v>27</v>
      </c>
      <c r="D167" s="95"/>
      <c r="E167" s="95"/>
      <c r="F167" s="96"/>
      <c r="G167" s="96"/>
      <c r="H167" s="96"/>
      <c r="I167" s="104"/>
    </row>
    <row r="168" spans="1:9" ht="45">
      <c r="A168" s="123" t="s">
        <v>439</v>
      </c>
      <c r="B168" s="98" t="s">
        <v>440</v>
      </c>
      <c r="C168" s="95">
        <f>145+26</f>
        <v>171</v>
      </c>
      <c r="D168" s="95"/>
      <c r="E168" s="95"/>
      <c r="F168" s="96"/>
      <c r="G168" s="96"/>
      <c r="H168" s="96"/>
      <c r="I168" s="104"/>
    </row>
    <row r="169" spans="1:9" ht="30">
      <c r="A169" s="123" t="s">
        <v>441</v>
      </c>
      <c r="B169" s="93" t="s">
        <v>442</v>
      </c>
      <c r="C169" s="95"/>
      <c r="D169" s="95"/>
      <c r="E169" s="95"/>
      <c r="F169" s="96"/>
      <c r="G169" s="96"/>
      <c r="H169" s="96"/>
      <c r="I169" s="104"/>
    </row>
    <row r="170" spans="1:9" ht="30">
      <c r="A170" s="123" t="s">
        <v>443</v>
      </c>
      <c r="B170" s="93" t="s">
        <v>444</v>
      </c>
      <c r="C170" s="95">
        <v>237.14</v>
      </c>
      <c r="D170" s="95"/>
      <c r="E170" s="95"/>
      <c r="F170" s="96"/>
      <c r="G170" s="96"/>
      <c r="H170" s="96"/>
      <c r="I170" s="104"/>
    </row>
    <row r="171" spans="1:9" ht="30">
      <c r="A171" s="123" t="s">
        <v>445</v>
      </c>
      <c r="B171" s="93" t="s">
        <v>446</v>
      </c>
      <c r="C171" s="95">
        <v>68.67</v>
      </c>
      <c r="D171" s="95"/>
      <c r="E171" s="95"/>
      <c r="F171" s="96"/>
      <c r="G171" s="96"/>
      <c r="H171" s="96"/>
      <c r="I171" s="104"/>
    </row>
    <row r="172" spans="1:9" ht="30">
      <c r="A172" s="123" t="s">
        <v>447</v>
      </c>
      <c r="B172" s="93" t="s">
        <v>448</v>
      </c>
      <c r="C172" s="95"/>
      <c r="D172" s="95"/>
      <c r="E172" s="95"/>
      <c r="F172" s="96"/>
      <c r="G172" s="96"/>
      <c r="H172" s="96"/>
      <c r="I172" s="104"/>
    </row>
    <row r="173" spans="1:9" ht="30">
      <c r="A173" s="76" t="s">
        <v>477</v>
      </c>
      <c r="B173" s="99" t="s">
        <v>155</v>
      </c>
      <c r="C173" s="95">
        <f>22+45.75</f>
        <v>67.75</v>
      </c>
      <c r="D173" s="95"/>
      <c r="E173" s="95"/>
      <c r="F173" s="96"/>
      <c r="G173" s="96"/>
      <c r="H173" s="96"/>
      <c r="I173" s="104"/>
    </row>
    <row r="174" spans="1:9" ht="30">
      <c r="A174" s="76" t="s">
        <v>478</v>
      </c>
      <c r="B174" s="99" t="s">
        <v>479</v>
      </c>
      <c r="C174" s="95"/>
      <c r="D174" s="95"/>
      <c r="E174" s="95"/>
      <c r="F174" s="96"/>
      <c r="G174" s="96"/>
      <c r="H174" s="96"/>
      <c r="I174" s="104"/>
    </row>
    <row r="175" spans="1:9" ht="30">
      <c r="A175" s="76" t="s">
        <v>480</v>
      </c>
      <c r="B175" s="93" t="s">
        <v>481</v>
      </c>
      <c r="C175" s="95">
        <v>85.26</v>
      </c>
      <c r="D175" s="95"/>
      <c r="E175" s="95"/>
      <c r="F175" s="96"/>
      <c r="G175" s="96"/>
      <c r="H175" s="96"/>
      <c r="I175" s="104"/>
    </row>
    <row r="176" spans="1:9">
      <c r="A176" s="115"/>
      <c r="B176" s="93" t="s">
        <v>500</v>
      </c>
      <c r="C176" s="101">
        <f>SUM(C38:C175)</f>
        <v>25103.491000000002</v>
      </c>
      <c r="D176" s="101">
        <f t="shared" ref="D176:H176" si="1">SUM(D38:D175)</f>
        <v>277.83000000000004</v>
      </c>
      <c r="E176" s="102">
        <f t="shared" si="1"/>
        <v>0</v>
      </c>
      <c r="F176" s="102">
        <f t="shared" si="1"/>
        <v>8</v>
      </c>
      <c r="G176" s="102">
        <f t="shared" si="1"/>
        <v>3</v>
      </c>
      <c r="H176" s="102">
        <f t="shared" si="1"/>
        <v>0</v>
      </c>
      <c r="I176" s="104"/>
    </row>
    <row r="177" spans="1:9">
      <c r="A177" s="115"/>
      <c r="B177" s="93" t="s">
        <v>501</v>
      </c>
      <c r="C177" s="101">
        <f>C176+C37</f>
        <v>58556.521000000008</v>
      </c>
      <c r="D177" s="101">
        <f t="shared" ref="D177:H177" si="2">D176+D37</f>
        <v>7253.73</v>
      </c>
      <c r="E177" s="102">
        <f t="shared" si="2"/>
        <v>2367</v>
      </c>
      <c r="F177" s="102">
        <f t="shared" si="2"/>
        <v>137</v>
      </c>
      <c r="G177" s="102">
        <f t="shared" si="2"/>
        <v>65</v>
      </c>
      <c r="H177" s="102">
        <f t="shared" si="2"/>
        <v>10</v>
      </c>
      <c r="I177" s="104"/>
    </row>
  </sheetData>
  <autoFilter ref="B2:H179"/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khj</cp:lastModifiedBy>
  <cp:revision>2</cp:revision>
  <cp:lastPrinted>2022-02-08T07:30:07Z</cp:lastPrinted>
  <dcterms:created xsi:type="dcterms:W3CDTF">2019-11-25T11:09:02Z</dcterms:created>
  <dcterms:modified xsi:type="dcterms:W3CDTF">2022-02-10T11:37:47Z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